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3215" windowHeight="12690" activeTab="6"/>
  </bookViews>
  <sheets>
    <sheet name="ИНП" sheetId="40" r:id="rId1"/>
    <sheet name="ИБР" sheetId="37" r:id="rId2"/>
    <sheet name="24" sheetId="34" state="hidden" r:id="rId3"/>
    <sheet name="28" sheetId="32" state="hidden" r:id="rId4"/>
    <sheet name="41" sheetId="36" state="hidden" r:id="rId5"/>
    <sheet name="выборка расходов" sheetId="42" r:id="rId6"/>
    <sheet name="Дотация итог " sheetId="39" r:id="rId7"/>
  </sheets>
  <externalReferences>
    <externalReference r:id="rId8"/>
    <externalReference r:id="rId9"/>
  </externalReferences>
  <definedNames>
    <definedName name="_xlnm._FilterDatabase" localSheetId="2" hidden="1">'24'!$A$10:$H$27</definedName>
    <definedName name="_xlnm._FilterDatabase" localSheetId="3" hidden="1">'28'!$A$10:$H$38</definedName>
    <definedName name="_xlnm._FilterDatabase" localSheetId="4" hidden="1">'41'!$A$9:$P$40</definedName>
    <definedName name="_xlnm._FilterDatabase" localSheetId="0" hidden="1">ИНП!$B$13:$WWK$47</definedName>
    <definedName name="Choice">[1]Вспомогательный!$A$18:$B$18</definedName>
    <definedName name="Data1" localSheetId="2">#REF!</definedName>
    <definedName name="Data1" localSheetId="3">#REF!</definedName>
    <definedName name="Data1" localSheetId="4">#REF!</definedName>
    <definedName name="Data1" localSheetId="6">#REF!</definedName>
    <definedName name="Data1">#REF!</definedName>
    <definedName name="Data2" localSheetId="2">#REF!</definedName>
    <definedName name="Data2" localSheetId="3">#REF!</definedName>
    <definedName name="Data2" localSheetId="4">#REF!</definedName>
    <definedName name="Data2" localSheetId="6">#REF!</definedName>
    <definedName name="Data2">#REF!</definedName>
    <definedName name="Data3" localSheetId="2">#REF!</definedName>
    <definedName name="Data3" localSheetId="3">#REF!</definedName>
    <definedName name="Data3" localSheetId="4">#REF!</definedName>
    <definedName name="Data3" localSheetId="6">#REF!</definedName>
    <definedName name="Data3">#REF!</definedName>
    <definedName name="Economy1" localSheetId="2">#REF!</definedName>
    <definedName name="Economy1" localSheetId="3">#REF!</definedName>
    <definedName name="Economy1" localSheetId="4">#REF!</definedName>
    <definedName name="Economy1" localSheetId="6">#REF!</definedName>
    <definedName name="Economy1">#REF!</definedName>
    <definedName name="Economy2" localSheetId="2">#REF!</definedName>
    <definedName name="Economy2" localSheetId="3">#REF!</definedName>
    <definedName name="Economy2" localSheetId="4">#REF!</definedName>
    <definedName name="Economy2" localSheetId="6">#REF!</definedName>
    <definedName name="Economy2">#REF!</definedName>
    <definedName name="index">[2]Вспомогательный!$A$2:$A$3</definedName>
    <definedName name="Subsidy">[2]Вспомогательный!$J$33:$J$34</definedName>
    <definedName name="taxes" localSheetId="2">[2]Вспомогательный!#REF!</definedName>
    <definedName name="taxes" localSheetId="3">[2]Вспомогательный!#REF!</definedName>
    <definedName name="taxes" localSheetId="4">[2]Вспомогательный!#REF!</definedName>
    <definedName name="taxes" localSheetId="6">[2]Вспомогательный!#REF!</definedName>
    <definedName name="taxes">[2]Вспомогательный!#REF!</definedName>
    <definedName name="_xlnm.Print_Area" localSheetId="2">'24'!$A$1:$H$27</definedName>
    <definedName name="_xlnm.Print_Area" localSheetId="3">'28'!$A$1:$H$38</definedName>
    <definedName name="_xlnm.Print_Area" localSheetId="4">'41'!$A$1:$G$40</definedName>
    <definedName name="_xlnm.Print_Area" localSheetId="0">ИНП!$A$1:$AL$58</definedName>
  </definedNames>
  <calcPr calcId="124519"/>
</workbook>
</file>

<file path=xl/calcChain.xml><?xml version="1.0" encoding="utf-8"?>
<calcChain xmlns="http://schemas.openxmlformats.org/spreadsheetml/2006/main">
  <c r="D20" i="42"/>
  <c r="I20"/>
  <c r="J20"/>
  <c r="C37" i="39" l="1"/>
  <c r="H9" i="37"/>
  <c r="M9" s="1"/>
  <c r="K9" i="42"/>
  <c r="K10"/>
  <c r="K11"/>
  <c r="K12"/>
  <c r="K13"/>
  <c r="K14"/>
  <c r="K15"/>
  <c r="K16"/>
  <c r="K17"/>
  <c r="K18"/>
  <c r="K19"/>
  <c r="H45" i="39" l="1"/>
  <c r="H44" s="1"/>
  <c r="H5" i="37" l="1"/>
  <c r="E20" i="42" l="1"/>
  <c r="F20"/>
  <c r="G20"/>
  <c r="H20"/>
  <c r="L20"/>
  <c r="M20"/>
  <c r="N20"/>
  <c r="O20"/>
  <c r="P20"/>
  <c r="Q20"/>
  <c r="R20"/>
  <c r="T20"/>
  <c r="U20"/>
  <c r="W20"/>
  <c r="X20"/>
  <c r="Y20"/>
  <c r="AA20"/>
  <c r="H10" i="37" l="1"/>
  <c r="H11"/>
  <c r="H12"/>
  <c r="H13"/>
  <c r="H14"/>
  <c r="H15"/>
  <c r="H16"/>
  <c r="H17"/>
  <c r="H18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Z19" i="42"/>
  <c r="G18" i="37" s="1"/>
  <c r="V19" i="42"/>
  <c r="F18" i="37" s="1"/>
  <c r="S19" i="42"/>
  <c r="E18" i="37" s="1"/>
  <c r="D18"/>
  <c r="Z18" i="42"/>
  <c r="G17" i="37" s="1"/>
  <c r="V18" i="42"/>
  <c r="F17" i="37" s="1"/>
  <c r="S18" i="42"/>
  <c r="E17" i="37" s="1"/>
  <c r="D17"/>
  <c r="Z17" i="42"/>
  <c r="G16" i="37" s="1"/>
  <c r="V17" i="42"/>
  <c r="F16" i="37" s="1"/>
  <c r="S17" i="42"/>
  <c r="E16" i="37" s="1"/>
  <c r="D16"/>
  <c r="Z16" i="42"/>
  <c r="G15" i="37" s="1"/>
  <c r="V16" i="42"/>
  <c r="F15" i="37" s="1"/>
  <c r="S16" i="42"/>
  <c r="E15" i="37" s="1"/>
  <c r="D15"/>
  <c r="Z15" i="42"/>
  <c r="G14" i="37" s="1"/>
  <c r="V15" i="42"/>
  <c r="F14" i="37" s="1"/>
  <c r="S15" i="42"/>
  <c r="E14" i="37" s="1"/>
  <c r="D14"/>
  <c r="Z14" i="42"/>
  <c r="G13" i="37" s="1"/>
  <c r="V14" i="42"/>
  <c r="F13" i="37" s="1"/>
  <c r="S14" i="42"/>
  <c r="E13" i="37" s="1"/>
  <c r="D13"/>
  <c r="Z13" i="42"/>
  <c r="G12" i="37" s="1"/>
  <c r="V13" i="42"/>
  <c r="F12" i="37" s="1"/>
  <c r="S13" i="42"/>
  <c r="E12" i="37" s="1"/>
  <c r="D12"/>
  <c r="Z12" i="42"/>
  <c r="G11" i="37" s="1"/>
  <c r="V12" i="42"/>
  <c r="F11" i="37" s="1"/>
  <c r="S12" i="42"/>
  <c r="E11" i="37" s="1"/>
  <c r="D11"/>
  <c r="Z11" i="42"/>
  <c r="G10" i="37" s="1"/>
  <c r="V11" i="42"/>
  <c r="F10" i="37" s="1"/>
  <c r="S11" i="42"/>
  <c r="E10" i="37" s="1"/>
  <c r="D10"/>
  <c r="Z10" i="42"/>
  <c r="V10"/>
  <c r="S10"/>
  <c r="Z9"/>
  <c r="V9"/>
  <c r="S9"/>
  <c r="H47" i="39"/>
  <c r="G9" i="37" l="1"/>
  <c r="Z20" i="42"/>
  <c r="F9" i="37"/>
  <c r="V20" i="42"/>
  <c r="E9" i="37"/>
  <c r="S20" i="42"/>
  <c r="E19" i="37" s="1"/>
  <c r="D9"/>
  <c r="K20" i="42"/>
  <c r="H8" i="37"/>
  <c r="J37" i="39" l="1"/>
  <c r="AL14" i="40" l="1"/>
  <c r="AK15" s="1"/>
  <c r="AK18" l="1"/>
  <c r="AK22"/>
  <c r="AK19"/>
  <c r="AK23"/>
  <c r="AK16"/>
  <c r="AK20"/>
  <c r="AK24"/>
  <c r="AK17"/>
  <c r="AK21"/>
  <c r="D3"/>
  <c r="AF21" l="1"/>
  <c r="AE21"/>
  <c r="AD21"/>
  <c r="AF16"/>
  <c r="AE16"/>
  <c r="AD16"/>
  <c r="AD22"/>
  <c r="AE22"/>
  <c r="AF22"/>
  <c r="AD17"/>
  <c r="AF17"/>
  <c r="AE17"/>
  <c r="AD18"/>
  <c r="AF18"/>
  <c r="AE18"/>
  <c r="AF20"/>
  <c r="AE20"/>
  <c r="AD20"/>
  <c r="AE23"/>
  <c r="AD23"/>
  <c r="AF23"/>
  <c r="AF24"/>
  <c r="AE24"/>
  <c r="AD24"/>
  <c r="AE19"/>
  <c r="AF19"/>
  <c r="AD19"/>
  <c r="AD15"/>
  <c r="AE15"/>
  <c r="AF15"/>
  <c r="M18" i="37" l="1"/>
  <c r="F3" i="40" l="1"/>
  <c r="E3"/>
  <c r="W14"/>
  <c r="V14"/>
  <c r="U14"/>
  <c r="Q14"/>
  <c r="P14"/>
  <c r="L14"/>
  <c r="K14"/>
  <c r="J14"/>
  <c r="F14"/>
  <c r="E14"/>
  <c r="D14"/>
  <c r="C14"/>
  <c r="G15" l="1"/>
  <c r="R19"/>
  <c r="S19" s="1"/>
  <c r="T19" s="1"/>
  <c r="R22"/>
  <c r="S22" s="1"/>
  <c r="R25"/>
  <c r="S25" s="1"/>
  <c r="T25" s="1"/>
  <c r="R28"/>
  <c r="S28" s="1"/>
  <c r="T28" s="1"/>
  <c r="R35"/>
  <c r="S35" s="1"/>
  <c r="T35" s="1"/>
  <c r="R38"/>
  <c r="S38" s="1"/>
  <c r="R41"/>
  <c r="S41" s="1"/>
  <c r="T41" s="1"/>
  <c r="R44"/>
  <c r="S44" s="1"/>
  <c r="T44" s="1"/>
  <c r="R36"/>
  <c r="S36" s="1"/>
  <c r="T36" s="1"/>
  <c r="R43"/>
  <c r="S43" s="1"/>
  <c r="T43" s="1"/>
  <c r="R32"/>
  <c r="S32" s="1"/>
  <c r="T32" s="1"/>
  <c r="R39"/>
  <c r="S39" s="1"/>
  <c r="T39" s="1"/>
  <c r="R18"/>
  <c r="S18" s="1"/>
  <c r="R21"/>
  <c r="S21" s="1"/>
  <c r="T21" s="1"/>
  <c r="R24"/>
  <c r="S24" s="1"/>
  <c r="T24" s="1"/>
  <c r="R31"/>
  <c r="S31" s="1"/>
  <c r="T31" s="1"/>
  <c r="R34"/>
  <c r="R37"/>
  <c r="S37" s="1"/>
  <c r="T37" s="1"/>
  <c r="R40"/>
  <c r="S40" s="1"/>
  <c r="T40" s="1"/>
  <c r="R15"/>
  <c r="R17"/>
  <c r="S17" s="1"/>
  <c r="R20"/>
  <c r="S20" s="1"/>
  <c r="T20" s="1"/>
  <c r="R27"/>
  <c r="S27" s="1"/>
  <c r="T27" s="1"/>
  <c r="R30"/>
  <c r="S30" s="1"/>
  <c r="T30" s="1"/>
  <c r="R33"/>
  <c r="S33" s="1"/>
  <c r="R16"/>
  <c r="S16" s="1"/>
  <c r="T16" s="1"/>
  <c r="R23"/>
  <c r="S23" s="1"/>
  <c r="T23" s="1"/>
  <c r="R26"/>
  <c r="S26" s="1"/>
  <c r="T26" s="1"/>
  <c r="R29"/>
  <c r="S29" s="1"/>
  <c r="T29" s="1"/>
  <c r="R42"/>
  <c r="S42" s="1"/>
  <c r="T42" s="1"/>
  <c r="S34"/>
  <c r="T34" s="1"/>
  <c r="H37"/>
  <c r="O43"/>
  <c r="M16"/>
  <c r="N18"/>
  <c r="M19"/>
  <c r="N24"/>
  <c r="N29"/>
  <c r="M36"/>
  <c r="N40"/>
  <c r="M44"/>
  <c r="M15"/>
  <c r="N16"/>
  <c r="O18"/>
  <c r="O21"/>
  <c r="O24"/>
  <c r="N32"/>
  <c r="M40"/>
  <c r="H17"/>
  <c r="G18"/>
  <c r="H20"/>
  <c r="G23"/>
  <c r="G26"/>
  <c r="H29"/>
  <c r="I33"/>
  <c r="G37"/>
  <c r="H41"/>
  <c r="I44"/>
  <c r="G32"/>
  <c r="H15"/>
  <c r="I17"/>
  <c r="I19"/>
  <c r="G20"/>
  <c r="I23"/>
  <c r="H26"/>
  <c r="H33"/>
  <c r="X44"/>
  <c r="Z43"/>
  <c r="X42"/>
  <c r="Z41"/>
  <c r="X40"/>
  <c r="Z39"/>
  <c r="X38"/>
  <c r="Z37"/>
  <c r="X36"/>
  <c r="Z35"/>
  <c r="X34"/>
  <c r="Z33"/>
  <c r="X32"/>
  <c r="Z31"/>
  <c r="X30"/>
  <c r="Z29"/>
  <c r="X28"/>
  <c r="Z27"/>
  <c r="X26"/>
  <c r="Y44"/>
  <c r="Y41"/>
  <c r="X39"/>
  <c r="Z38"/>
  <c r="Y36"/>
  <c r="Y33"/>
  <c r="X31"/>
  <c r="Z30"/>
  <c r="Y28"/>
  <c r="X25"/>
  <c r="Z24"/>
  <c r="X23"/>
  <c r="Z22"/>
  <c r="X21"/>
  <c r="Y43"/>
  <c r="Y34"/>
  <c r="Y32"/>
  <c r="Y30"/>
  <c r="Z28"/>
  <c r="Z26"/>
  <c r="Z25"/>
  <c r="Y23"/>
  <c r="Y20"/>
  <c r="Y18"/>
  <c r="Y16"/>
  <c r="Y15"/>
  <c r="X43"/>
  <c r="X41"/>
  <c r="Y39"/>
  <c r="Y37"/>
  <c r="Y35"/>
  <c r="Y26"/>
  <c r="Y25"/>
  <c r="Y22"/>
  <c r="X20"/>
  <c r="X16"/>
  <c r="Z18"/>
  <c r="X19"/>
  <c r="X22"/>
  <c r="Y27"/>
  <c r="Y31"/>
  <c r="X35"/>
  <c r="Z42"/>
  <c r="I43"/>
  <c r="I41"/>
  <c r="I39"/>
  <c r="G36"/>
  <c r="G34"/>
  <c r="I30"/>
  <c r="I28"/>
  <c r="I26"/>
  <c r="H24"/>
  <c r="G22"/>
  <c r="O44"/>
  <c r="M43"/>
  <c r="O42"/>
  <c r="M41"/>
  <c r="O40"/>
  <c r="M39"/>
  <c r="O38"/>
  <c r="M37"/>
  <c r="O36"/>
  <c r="M35"/>
  <c r="O34"/>
  <c r="M33"/>
  <c r="O32"/>
  <c r="M31"/>
  <c r="O30"/>
  <c r="M29"/>
  <c r="O28"/>
  <c r="M27"/>
  <c r="O26"/>
  <c r="N44"/>
  <c r="M42"/>
  <c r="O41"/>
  <c r="N39"/>
  <c r="N36"/>
  <c r="M34"/>
  <c r="O33"/>
  <c r="N31"/>
  <c r="N28"/>
  <c r="M26"/>
  <c r="O25"/>
  <c r="M24"/>
  <c r="O23"/>
  <c r="M22"/>
  <c r="N43"/>
  <c r="N41"/>
  <c r="O39"/>
  <c r="O37"/>
  <c r="O35"/>
  <c r="M32"/>
  <c r="M30"/>
  <c r="M28"/>
  <c r="N26"/>
  <c r="N23"/>
  <c r="N21"/>
  <c r="N19"/>
  <c r="N17"/>
  <c r="N37"/>
  <c r="N35"/>
  <c r="N33"/>
  <c r="O31"/>
  <c r="O29"/>
  <c r="O27"/>
  <c r="N25"/>
  <c r="M23"/>
  <c r="O22"/>
  <c r="M21"/>
  <c r="O20"/>
  <c r="N15"/>
  <c r="X15"/>
  <c r="G16"/>
  <c r="O16"/>
  <c r="Z16"/>
  <c r="M17"/>
  <c r="X17"/>
  <c r="H18"/>
  <c r="O19"/>
  <c r="Y19"/>
  <c r="M20"/>
  <c r="Z20"/>
  <c r="H21"/>
  <c r="Y21"/>
  <c r="I22"/>
  <c r="X24"/>
  <c r="I25"/>
  <c r="I27"/>
  <c r="X29"/>
  <c r="N30"/>
  <c r="H31"/>
  <c r="Z32"/>
  <c r="N34"/>
  <c r="G35"/>
  <c r="Z36"/>
  <c r="M38"/>
  <c r="G39"/>
  <c r="Y40"/>
  <c r="I42"/>
  <c r="O15"/>
  <c r="Z15"/>
  <c r="H16"/>
  <c r="O17"/>
  <c r="Y17"/>
  <c r="M18"/>
  <c r="H19"/>
  <c r="Z19"/>
  <c r="N20"/>
  <c r="I21"/>
  <c r="Z21"/>
  <c r="N22"/>
  <c r="G24"/>
  <c r="Y24"/>
  <c r="M25"/>
  <c r="N27"/>
  <c r="G28"/>
  <c r="Y29"/>
  <c r="I31"/>
  <c r="X33"/>
  <c r="I35"/>
  <c r="X37"/>
  <c r="N38"/>
  <c r="H39"/>
  <c r="Z40"/>
  <c r="N42"/>
  <c r="G43"/>
  <c r="Z44"/>
  <c r="Z17"/>
  <c r="X18"/>
  <c r="Z23"/>
  <c r="X27"/>
  <c r="Z34"/>
  <c r="Y38"/>
  <c r="Y42"/>
  <c r="H44"/>
  <c r="H42"/>
  <c r="H40"/>
  <c r="H38"/>
  <c r="H36"/>
  <c r="H34"/>
  <c r="H32"/>
  <c r="H30"/>
  <c r="H28"/>
  <c r="H43"/>
  <c r="G41"/>
  <c r="I40"/>
  <c r="G38"/>
  <c r="I37"/>
  <c r="H35"/>
  <c r="G33"/>
  <c r="I32"/>
  <c r="G30"/>
  <c r="I29"/>
  <c r="H27"/>
  <c r="H25"/>
  <c r="H23"/>
  <c r="I15"/>
  <c r="I16"/>
  <c r="G17"/>
  <c r="I18"/>
  <c r="G19"/>
  <c r="I20"/>
  <c r="G21"/>
  <c r="H22"/>
  <c r="I24"/>
  <c r="G25"/>
  <c r="G27"/>
  <c r="G29"/>
  <c r="G31"/>
  <c r="I34"/>
  <c r="I36"/>
  <c r="I38"/>
  <c r="G40"/>
  <c r="G42"/>
  <c r="G44"/>
  <c r="S15" l="1"/>
  <c r="T15" s="1"/>
  <c r="T17"/>
  <c r="AC17" s="1"/>
  <c r="T22"/>
  <c r="AC22" s="1"/>
  <c r="T18"/>
  <c r="AC18" s="1"/>
  <c r="T33"/>
  <c r="AC33" s="1"/>
  <c r="T38"/>
  <c r="AC38" s="1"/>
  <c r="AC19"/>
  <c r="AC23"/>
  <c r="AC34"/>
  <c r="AA37"/>
  <c r="AC44"/>
  <c r="AA44"/>
  <c r="AA40"/>
  <c r="AA27"/>
  <c r="AA21"/>
  <c r="AA19"/>
  <c r="AA17"/>
  <c r="AB30"/>
  <c r="AC20"/>
  <c r="AB29"/>
  <c r="AA24"/>
  <c r="AB18"/>
  <c r="Z14"/>
  <c r="X14"/>
  <c r="Y14"/>
  <c r="R14"/>
  <c r="AB40"/>
  <c r="O14"/>
  <c r="AC25"/>
  <c r="N14"/>
  <c r="M14"/>
  <c r="H14"/>
  <c r="AB38"/>
  <c r="AB17"/>
  <c r="AC21"/>
  <c r="AA39"/>
  <c r="AA35"/>
  <c r="AB31"/>
  <c r="AA20"/>
  <c r="AB33"/>
  <c r="AB37"/>
  <c r="AC36"/>
  <c r="AA31"/>
  <c r="AC24"/>
  <c r="AB22"/>
  <c r="AA33"/>
  <c r="AC40"/>
  <c r="AB20"/>
  <c r="AA26"/>
  <c r="AB27"/>
  <c r="AA18"/>
  <c r="AA22"/>
  <c r="AC30"/>
  <c r="AB26"/>
  <c r="AA23"/>
  <c r="AC31"/>
  <c r="AC29"/>
  <c r="AA41"/>
  <c r="AA16"/>
  <c r="AA32"/>
  <c r="AA29"/>
  <c r="I14"/>
  <c r="AA30"/>
  <c r="AB43"/>
  <c r="AB42"/>
  <c r="AA43"/>
  <c r="AB25"/>
  <c r="AC32"/>
  <c r="AA38"/>
  <c r="AB28"/>
  <c r="AB36"/>
  <c r="AB44"/>
  <c r="AA28"/>
  <c r="AA15"/>
  <c r="G14"/>
  <c r="AC27"/>
  <c r="AC28"/>
  <c r="AA36"/>
  <c r="AB19"/>
  <c r="AC39"/>
  <c r="AB35"/>
  <c r="AB32"/>
  <c r="AC35"/>
  <c r="AC42"/>
  <c r="AB41"/>
  <c r="AB24"/>
  <c r="AC41"/>
  <c r="AA42"/>
  <c r="AA25"/>
  <c r="AC16"/>
  <c r="AB23"/>
  <c r="AC37"/>
  <c r="AB34"/>
  <c r="AB39"/>
  <c r="AB16"/>
  <c r="AB21"/>
  <c r="AC26"/>
  <c r="AA34"/>
  <c r="AC43"/>
  <c r="AB15" l="1"/>
  <c r="AB14" s="1"/>
  <c r="AH15" s="1"/>
  <c r="S14"/>
  <c r="AC15"/>
  <c r="AC14" s="1"/>
  <c r="AI18" s="1"/>
  <c r="T14"/>
  <c r="AA14"/>
  <c r="AG42" s="1"/>
  <c r="AH25" l="1"/>
  <c r="AH41"/>
  <c r="AH43"/>
  <c r="AH32"/>
  <c r="AH24"/>
  <c r="AH21"/>
  <c r="AI27"/>
  <c r="AG15"/>
  <c r="D6" i="39" s="1"/>
  <c r="AG41" i="40"/>
  <c r="AG43"/>
  <c r="AG30"/>
  <c r="AG25"/>
  <c r="AG38"/>
  <c r="AG29"/>
  <c r="AG34"/>
  <c r="AI34"/>
  <c r="AI25"/>
  <c r="AI24"/>
  <c r="AI40"/>
  <c r="AI23"/>
  <c r="AI36"/>
  <c r="AI22"/>
  <c r="AI17"/>
  <c r="AI19"/>
  <c r="AI21"/>
  <c r="AI30"/>
  <c r="AI20"/>
  <c r="AI44"/>
  <c r="AI41"/>
  <c r="AI42"/>
  <c r="AI28"/>
  <c r="AI31"/>
  <c r="AI43"/>
  <c r="AH37"/>
  <c r="AH31"/>
  <c r="AH26"/>
  <c r="AH18"/>
  <c r="AH22"/>
  <c r="AH38"/>
  <c r="AH30"/>
  <c r="AH29"/>
  <c r="AH20"/>
  <c r="AH33"/>
  <c r="AH17"/>
  <c r="AH40"/>
  <c r="AH27"/>
  <c r="AH42"/>
  <c r="AH19"/>
  <c r="AI16"/>
  <c r="AH28"/>
  <c r="AH35"/>
  <c r="AI29"/>
  <c r="AH36"/>
  <c r="AI32"/>
  <c r="AH34"/>
  <c r="AI38"/>
  <c r="AI39"/>
  <c r="AH39"/>
  <c r="AH16"/>
  <c r="AG26"/>
  <c r="AG44"/>
  <c r="AG37"/>
  <c r="AG23"/>
  <c r="D14" i="39" s="1"/>
  <c r="AG33" i="40"/>
  <c r="AG19"/>
  <c r="D10" i="39" s="1"/>
  <c r="AG18" i="40"/>
  <c r="D9" i="39" s="1"/>
  <c r="AG27" i="40"/>
  <c r="AG40"/>
  <c r="AG17"/>
  <c r="D8" i="39" s="1"/>
  <c r="AG24" i="40"/>
  <c r="D15" i="39" s="1"/>
  <c r="AG22" i="40"/>
  <c r="D13" i="39" s="1"/>
  <c r="AG20" i="40"/>
  <c r="D11" i="39" s="1"/>
  <c r="AG21" i="40"/>
  <c r="D12" i="39" s="1"/>
  <c r="AG39" i="40"/>
  <c r="AG31"/>
  <c r="AG35"/>
  <c r="AH23"/>
  <c r="AG16"/>
  <c r="D7" i="39" s="1"/>
  <c r="AG36" i="40"/>
  <c r="AI37"/>
  <c r="AG32"/>
  <c r="AH44"/>
  <c r="AI33"/>
  <c r="AI15"/>
  <c r="AG28"/>
  <c r="AI35"/>
  <c r="AI26"/>
  <c r="C7" i="39" l="1"/>
  <c r="C8"/>
  <c r="C9"/>
  <c r="C10"/>
  <c r="C11"/>
  <c r="C12"/>
  <c r="C13"/>
  <c r="C14"/>
  <c r="C15"/>
  <c r="C6"/>
  <c r="I25" i="37"/>
  <c r="S27"/>
  <c r="S28"/>
  <c r="S29"/>
  <c r="S30"/>
  <c r="S31"/>
  <c r="S32"/>
  <c r="S33"/>
  <c r="S34"/>
  <c r="S35"/>
  <c r="S36"/>
  <c r="S37"/>
  <c r="S38"/>
  <c r="M10"/>
  <c r="M11"/>
  <c r="M12"/>
  <c r="M13"/>
  <c r="M14"/>
  <c r="M15"/>
  <c r="M16"/>
  <c r="M17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L9"/>
  <c r="L10"/>
  <c r="L38"/>
  <c r="K38"/>
  <c r="J38"/>
  <c r="I38"/>
  <c r="L37"/>
  <c r="K37"/>
  <c r="J37"/>
  <c r="I37"/>
  <c r="L36"/>
  <c r="K36"/>
  <c r="J36"/>
  <c r="I36"/>
  <c r="L35"/>
  <c r="K35"/>
  <c r="J35"/>
  <c r="I35"/>
  <c r="L34"/>
  <c r="K34"/>
  <c r="J34"/>
  <c r="I34"/>
  <c r="L33"/>
  <c r="K33"/>
  <c r="J33"/>
  <c r="I33"/>
  <c r="L3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L19"/>
  <c r="K19"/>
  <c r="J19"/>
  <c r="I19"/>
  <c r="L18"/>
  <c r="K18"/>
  <c r="J18"/>
  <c r="I18"/>
  <c r="L17"/>
  <c r="K17"/>
  <c r="J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K10"/>
  <c r="J10"/>
  <c r="I10"/>
  <c r="K9"/>
  <c r="J9"/>
  <c r="I9"/>
  <c r="G8"/>
  <c r="F8"/>
  <c r="E8"/>
  <c r="D8"/>
  <c r="C8"/>
  <c r="A8"/>
  <c r="C5" i="39" l="1"/>
  <c r="K8" i="37"/>
  <c r="P25" s="1"/>
  <c r="M8"/>
  <c r="A5" i="39"/>
  <c r="L8" i="37"/>
  <c r="Q25" s="1"/>
  <c r="I8"/>
  <c r="N25" s="1"/>
  <c r="J8"/>
  <c r="R23" l="1"/>
  <c r="R9"/>
  <c r="R30"/>
  <c r="R33"/>
  <c r="R34"/>
  <c r="R37"/>
  <c r="Q17"/>
  <c r="R17"/>
  <c r="Q38"/>
  <c r="Q30"/>
  <c r="R20"/>
  <c r="Q24"/>
  <c r="Q37"/>
  <c r="P20"/>
  <c r="Q13"/>
  <c r="Q29"/>
  <c r="P33"/>
  <c r="Q23"/>
  <c r="Q12"/>
  <c r="Q34"/>
  <c r="Q26"/>
  <c r="P24"/>
  <c r="R13"/>
  <c r="R16"/>
  <c r="P9"/>
  <c r="Q19"/>
  <c r="R27"/>
  <c r="Q33"/>
  <c r="R10"/>
  <c r="R31"/>
  <c r="R21"/>
  <c r="R38"/>
  <c r="R24"/>
  <c r="R22"/>
  <c r="R14"/>
  <c r="R36"/>
  <c r="R26"/>
  <c r="R12"/>
  <c r="R29"/>
  <c r="Q10"/>
  <c r="Q14"/>
  <c r="Q18"/>
  <c r="Q22"/>
  <c r="R25"/>
  <c r="R18"/>
  <c r="R15"/>
  <c r="R11"/>
  <c r="R32"/>
  <c r="Q21"/>
  <c r="Q16"/>
  <c r="Q11"/>
  <c r="R19"/>
  <c r="R35"/>
  <c r="Q36"/>
  <c r="Q32"/>
  <c r="Q28"/>
  <c r="R28"/>
  <c r="O13"/>
  <c r="O25"/>
  <c r="S25" s="1"/>
  <c r="Q20"/>
  <c r="Q15"/>
  <c r="Q9"/>
  <c r="Q35"/>
  <c r="Q31"/>
  <c r="Q27"/>
  <c r="N11"/>
  <c r="N9"/>
  <c r="N21"/>
  <c r="N20"/>
  <c r="N31"/>
  <c r="N38"/>
  <c r="N37"/>
  <c r="N36"/>
  <c r="N35"/>
  <c r="N23"/>
  <c r="N22"/>
  <c r="N29"/>
  <c r="N28"/>
  <c r="N19"/>
  <c r="N15"/>
  <c r="N13"/>
  <c r="N12"/>
  <c r="N34"/>
  <c r="O17"/>
  <c r="N18"/>
  <c r="P16"/>
  <c r="O22"/>
  <c r="P13"/>
  <c r="P36"/>
  <c r="N30"/>
  <c r="N14"/>
  <c r="N33"/>
  <c r="N17"/>
  <c r="N32"/>
  <c r="N24"/>
  <c r="N16"/>
  <c r="P37"/>
  <c r="N27"/>
  <c r="P21"/>
  <c r="O37"/>
  <c r="P32"/>
  <c r="N10"/>
  <c r="N26"/>
  <c r="O38"/>
  <c r="O26"/>
  <c r="O14"/>
  <c r="O33"/>
  <c r="O36"/>
  <c r="O32"/>
  <c r="O28"/>
  <c r="O24"/>
  <c r="O20"/>
  <c r="O16"/>
  <c r="O12"/>
  <c r="O9"/>
  <c r="O35"/>
  <c r="O31"/>
  <c r="O27"/>
  <c r="O23"/>
  <c r="O19"/>
  <c r="O15"/>
  <c r="O11"/>
  <c r="O30"/>
  <c r="P28"/>
  <c r="P12"/>
  <c r="P35"/>
  <c r="P31"/>
  <c r="P27"/>
  <c r="P23"/>
  <c r="P19"/>
  <c r="P15"/>
  <c r="P11"/>
  <c r="P38"/>
  <c r="P34"/>
  <c r="P30"/>
  <c r="P26"/>
  <c r="P22"/>
  <c r="P18"/>
  <c r="P14"/>
  <c r="P10"/>
  <c r="P29"/>
  <c r="P17"/>
  <c r="O10"/>
  <c r="O21"/>
  <c r="O34"/>
  <c r="O18"/>
  <c r="O29"/>
  <c r="R8" l="1"/>
  <c r="S11"/>
  <c r="E8" i="39" s="1"/>
  <c r="F8" s="1"/>
  <c r="H8" s="1"/>
  <c r="I8" s="1"/>
  <c r="S10" i="37"/>
  <c r="E7" i="39" s="1"/>
  <c r="F7" s="1"/>
  <c r="H7" s="1"/>
  <c r="I7" s="1"/>
  <c r="S16" i="37"/>
  <c r="E13" i="39" s="1"/>
  <c r="F13" s="1"/>
  <c r="H13" s="1"/>
  <c r="I13" s="1"/>
  <c r="S12" i="37"/>
  <c r="E9" i="39" s="1"/>
  <c r="F9" s="1"/>
  <c r="H9" s="1"/>
  <c r="I9" s="1"/>
  <c r="S15" i="37"/>
  <c r="E12" i="39" s="1"/>
  <c r="F12" s="1"/>
  <c r="H12" s="1"/>
  <c r="I12" s="1"/>
  <c r="S14" i="37"/>
  <c r="E11" i="39" s="1"/>
  <c r="F11" s="1"/>
  <c r="H11" s="1"/>
  <c r="I11" s="1"/>
  <c r="S13" i="37"/>
  <c r="E10" i="39" s="1"/>
  <c r="F10" s="1"/>
  <c r="H10" s="1"/>
  <c r="I10" s="1"/>
  <c r="S9" i="37"/>
  <c r="E6" i="39" s="1"/>
  <c r="F6" s="1"/>
  <c r="H6" s="1"/>
  <c r="I6" s="1"/>
  <c r="S17" i="37"/>
  <c r="E14" i="39" s="1"/>
  <c r="F14" s="1"/>
  <c r="H14" s="1"/>
  <c r="I14" s="1"/>
  <c r="Q8" i="37"/>
  <c r="S21"/>
  <c r="S22"/>
  <c r="S19"/>
  <c r="S23"/>
  <c r="N8"/>
  <c r="O8"/>
  <c r="P8"/>
  <c r="S26"/>
  <c r="S24"/>
  <c r="S18"/>
  <c r="E15" i="39" s="1"/>
  <c r="F15" s="1"/>
  <c r="H15" s="1"/>
  <c r="I15" s="1"/>
  <c r="S20" i="37"/>
  <c r="T17" i="36"/>
  <c r="G6"/>
  <c r="H10"/>
  <c r="I37" i="39" l="1"/>
  <c r="H16" i="36"/>
  <c r="T40" l="1"/>
  <c r="P40"/>
  <c r="K40"/>
  <c r="J40"/>
  <c r="I40"/>
  <c r="H40"/>
  <c r="T39"/>
  <c r="P39"/>
  <c r="K39"/>
  <c r="J39"/>
  <c r="I39"/>
  <c r="H39"/>
  <c r="T38"/>
  <c r="P38"/>
  <c r="K38"/>
  <c r="J38"/>
  <c r="I38"/>
  <c r="H38"/>
  <c r="T37"/>
  <c r="P37"/>
  <c r="K37"/>
  <c r="J37"/>
  <c r="I37"/>
  <c r="H37"/>
  <c r="T36"/>
  <c r="P36"/>
  <c r="K36"/>
  <c r="J36"/>
  <c r="I36"/>
  <c r="H36"/>
  <c r="T35"/>
  <c r="P35"/>
  <c r="K35"/>
  <c r="J35"/>
  <c r="I35"/>
  <c r="H35"/>
  <c r="T34"/>
  <c r="P34"/>
  <c r="K34"/>
  <c r="J34"/>
  <c r="I34"/>
  <c r="H34"/>
  <c r="T33"/>
  <c r="P33"/>
  <c r="K33"/>
  <c r="J33"/>
  <c r="I33"/>
  <c r="H33"/>
  <c r="T32"/>
  <c r="P32"/>
  <c r="K32"/>
  <c r="J32"/>
  <c r="I32"/>
  <c r="H32"/>
  <c r="T31"/>
  <c r="P31"/>
  <c r="K31"/>
  <c r="J31"/>
  <c r="I31"/>
  <c r="H31"/>
  <c r="T30"/>
  <c r="P30"/>
  <c r="K30"/>
  <c r="J30"/>
  <c r="I30"/>
  <c r="H30"/>
  <c r="T29"/>
  <c r="P29"/>
  <c r="K29"/>
  <c r="J29"/>
  <c r="I29"/>
  <c r="H29"/>
  <c r="T28"/>
  <c r="P28"/>
  <c r="K28"/>
  <c r="J28"/>
  <c r="I28"/>
  <c r="H28"/>
  <c r="T27"/>
  <c r="P27"/>
  <c r="K27"/>
  <c r="J27"/>
  <c r="I27"/>
  <c r="H27"/>
  <c r="T26"/>
  <c r="P26"/>
  <c r="K26"/>
  <c r="J26"/>
  <c r="I26"/>
  <c r="H26"/>
  <c r="T25"/>
  <c r="P25"/>
  <c r="K25"/>
  <c r="J25"/>
  <c r="I25"/>
  <c r="H25"/>
  <c r="T24"/>
  <c r="P24"/>
  <c r="K24"/>
  <c r="J24"/>
  <c r="I24"/>
  <c r="H24"/>
  <c r="T23"/>
  <c r="P23"/>
  <c r="K23"/>
  <c r="J23"/>
  <c r="I23"/>
  <c r="H23"/>
  <c r="T22"/>
  <c r="P22"/>
  <c r="K22"/>
  <c r="J22"/>
  <c r="I22"/>
  <c r="H22"/>
  <c r="T21"/>
  <c r="K21"/>
  <c r="J21"/>
  <c r="I21"/>
  <c r="H21"/>
  <c r="T20"/>
  <c r="K20"/>
  <c r="J20"/>
  <c r="I20"/>
  <c r="H20"/>
  <c r="T19"/>
  <c r="K19"/>
  <c r="J19"/>
  <c r="I19"/>
  <c r="H19"/>
  <c r="T18"/>
  <c r="K18"/>
  <c r="J18"/>
  <c r="I18"/>
  <c r="H18"/>
  <c r="K17"/>
  <c r="J17"/>
  <c r="I17"/>
  <c r="H17"/>
  <c r="T16"/>
  <c r="K16"/>
  <c r="J16"/>
  <c r="I16"/>
  <c r="T15"/>
  <c r="K15"/>
  <c r="J15"/>
  <c r="I15"/>
  <c r="H15"/>
  <c r="T14"/>
  <c r="K14"/>
  <c r="J14"/>
  <c r="I14"/>
  <c r="H14"/>
  <c r="T13"/>
  <c r="K13"/>
  <c r="J13"/>
  <c r="I13"/>
  <c r="H13"/>
  <c r="T12"/>
  <c r="K12"/>
  <c r="J12"/>
  <c r="I12"/>
  <c r="H12"/>
  <c r="T11"/>
  <c r="K11"/>
  <c r="J11"/>
  <c r="I11"/>
  <c r="H11"/>
  <c r="T10"/>
  <c r="K10"/>
  <c r="J10"/>
  <c r="I10"/>
  <c r="S9"/>
  <c r="G9"/>
  <c r="F9"/>
  <c r="E9"/>
  <c r="D9"/>
  <c r="C9"/>
  <c r="A9"/>
  <c r="T9" l="1"/>
  <c r="K9"/>
  <c r="O28" s="1"/>
  <c r="J9"/>
  <c r="N20" s="1"/>
  <c r="U22"/>
  <c r="U24"/>
  <c r="U26"/>
  <c r="U28"/>
  <c r="U30"/>
  <c r="U32"/>
  <c r="U34"/>
  <c r="U36"/>
  <c r="U38"/>
  <c r="U40"/>
  <c r="H9"/>
  <c r="L17" s="1"/>
  <c r="O33"/>
  <c r="O35"/>
  <c r="I9"/>
  <c r="M20" s="1"/>
  <c r="O22"/>
  <c r="O11"/>
  <c r="U23"/>
  <c r="U25"/>
  <c r="U27"/>
  <c r="U29"/>
  <c r="U31"/>
  <c r="L33"/>
  <c r="U33"/>
  <c r="U35"/>
  <c r="L37"/>
  <c r="U37"/>
  <c r="U39"/>
  <c r="K12" i="3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J10"/>
  <c r="K11"/>
  <c r="J10" i="34"/>
  <c r="V40" i="36" l="1"/>
  <c r="L20"/>
  <c r="O23"/>
  <c r="V25"/>
  <c r="V26"/>
  <c r="V24"/>
  <c r="O21"/>
  <c r="O12"/>
  <c r="O25"/>
  <c r="V31"/>
  <c r="V28"/>
  <c r="O19"/>
  <c r="V34"/>
  <c r="V39"/>
  <c r="V33"/>
  <c r="L29"/>
  <c r="V23"/>
  <c r="O15"/>
  <c r="O26"/>
  <c r="O39"/>
  <c r="O27"/>
  <c r="O24"/>
  <c r="O32"/>
  <c r="V37"/>
  <c r="V27"/>
  <c r="N12"/>
  <c r="V36"/>
  <c r="V35"/>
  <c r="V29"/>
  <c r="L25"/>
  <c r="N17"/>
  <c r="O10"/>
  <c r="O31"/>
  <c r="O14"/>
  <c r="N39"/>
  <c r="O34"/>
  <c r="N16"/>
  <c r="N37"/>
  <c r="V30"/>
  <c r="V22"/>
  <c r="O38"/>
  <c r="O17"/>
  <c r="N38"/>
  <c r="N34"/>
  <c r="N30"/>
  <c r="N26"/>
  <c r="N22"/>
  <c r="O16"/>
  <c r="L13"/>
  <c r="N19"/>
  <c r="O37"/>
  <c r="O29"/>
  <c r="O20"/>
  <c r="O18"/>
  <c r="V38"/>
  <c r="V32"/>
  <c r="O40"/>
  <c r="O30"/>
  <c r="N40"/>
  <c r="L35"/>
  <c r="N32"/>
  <c r="L27"/>
  <c r="N24"/>
  <c r="L19"/>
  <c r="N11"/>
  <c r="N13"/>
  <c r="P13" s="1"/>
  <c r="U13" s="1"/>
  <c r="V13" s="1"/>
  <c r="L40"/>
  <c r="N33"/>
  <c r="N29"/>
  <c r="N25"/>
  <c r="O13"/>
  <c r="O36"/>
  <c r="L36"/>
  <c r="L39"/>
  <c r="N36"/>
  <c r="L31"/>
  <c r="N28"/>
  <c r="L23"/>
  <c r="N18"/>
  <c r="L14"/>
  <c r="L15"/>
  <c r="N21"/>
  <c r="N15"/>
  <c r="L21"/>
  <c r="L11"/>
  <c r="N35"/>
  <c r="L32"/>
  <c r="L28"/>
  <c r="M34"/>
  <c r="M22"/>
  <c r="M31"/>
  <c r="M15"/>
  <c r="M33"/>
  <c r="M10"/>
  <c r="M17"/>
  <c r="M12"/>
  <c r="M29"/>
  <c r="L38"/>
  <c r="L30"/>
  <c r="N27"/>
  <c r="L22"/>
  <c r="L18"/>
  <c r="N14"/>
  <c r="N10"/>
  <c r="M14"/>
  <c r="M30"/>
  <c r="M18"/>
  <c r="M13"/>
  <c r="M40"/>
  <c r="M36"/>
  <c r="M32"/>
  <c r="M28"/>
  <c r="M24"/>
  <c r="P20"/>
  <c r="U20" s="1"/>
  <c r="V20" s="1"/>
  <c r="M27"/>
  <c r="L24"/>
  <c r="M21"/>
  <c r="M23"/>
  <c r="M19"/>
  <c r="M35"/>
  <c r="M38"/>
  <c r="M26"/>
  <c r="M11"/>
  <c r="P11" s="1"/>
  <c r="U11" s="1"/>
  <c r="V11" s="1"/>
  <c r="M37"/>
  <c r="M25"/>
  <c r="M39"/>
  <c r="L10"/>
  <c r="L16"/>
  <c r="L34"/>
  <c r="N31"/>
  <c r="L26"/>
  <c r="N23"/>
  <c r="M16"/>
  <c r="L12"/>
  <c r="P21" l="1"/>
  <c r="U21" s="1"/>
  <c r="V21" s="1"/>
  <c r="P17"/>
  <c r="U17" s="1"/>
  <c r="V17" s="1"/>
  <c r="P19"/>
  <c r="U19" s="1"/>
  <c r="V19" s="1"/>
  <c r="P18"/>
  <c r="U18" s="1"/>
  <c r="V18" s="1"/>
  <c r="P15"/>
  <c r="U15" s="1"/>
  <c r="V15" s="1"/>
  <c r="P14"/>
  <c r="U14" s="1"/>
  <c r="V14" s="1"/>
  <c r="P12"/>
  <c r="U12" s="1"/>
  <c r="V12" s="1"/>
  <c r="P16"/>
  <c r="U16" s="1"/>
  <c r="V16" s="1"/>
  <c r="P10"/>
  <c r="U10" s="1"/>
  <c r="V10" s="1"/>
  <c r="K12" i="34"/>
  <c r="K13"/>
  <c r="K14"/>
  <c r="K15"/>
  <c r="K16"/>
  <c r="K17"/>
  <c r="K18"/>
  <c r="K19"/>
  <c r="K20"/>
  <c r="K21"/>
  <c r="K22"/>
  <c r="K23"/>
  <c r="K24"/>
  <c r="K25"/>
  <c r="K26"/>
  <c r="K27"/>
  <c r="K11"/>
  <c r="V9" i="36" l="1"/>
  <c r="G10" i="34"/>
  <c r="F10"/>
  <c r="E10"/>
  <c r="D10"/>
  <c r="C10"/>
  <c r="K10" s="1"/>
  <c r="A10"/>
  <c r="G7"/>
  <c r="H27" s="1"/>
  <c r="L27" s="1"/>
  <c r="M27" l="1"/>
  <c r="H12"/>
  <c r="L12" s="1"/>
  <c r="M12" s="1"/>
  <c r="H16"/>
  <c r="L16" s="1"/>
  <c r="M16" s="1"/>
  <c r="H20"/>
  <c r="L20" s="1"/>
  <c r="M20" s="1"/>
  <c r="H24"/>
  <c r="L24" s="1"/>
  <c r="M24" s="1"/>
  <c r="H13"/>
  <c r="L13" s="1"/>
  <c r="M13" s="1"/>
  <c r="H17"/>
  <c r="L17" s="1"/>
  <c r="M17" s="1"/>
  <c r="H21"/>
  <c r="L21" s="1"/>
  <c r="M21" s="1"/>
  <c r="H25"/>
  <c r="L25" s="1"/>
  <c r="M25" s="1"/>
  <c r="H14"/>
  <c r="L14" s="1"/>
  <c r="M14" s="1"/>
  <c r="H18"/>
  <c r="L18" s="1"/>
  <c r="M18" s="1"/>
  <c r="H22"/>
  <c r="L22" s="1"/>
  <c r="M22" s="1"/>
  <c r="H26"/>
  <c r="L26" s="1"/>
  <c r="M26" s="1"/>
  <c r="H11"/>
  <c r="L11" s="1"/>
  <c r="M11" s="1"/>
  <c r="H15"/>
  <c r="L15" s="1"/>
  <c r="M15" s="1"/>
  <c r="H19"/>
  <c r="L19" s="1"/>
  <c r="M19" s="1"/>
  <c r="H23"/>
  <c r="L23" s="1"/>
  <c r="M23" s="1"/>
  <c r="G10" i="32"/>
  <c r="F10"/>
  <c r="E10"/>
  <c r="D10"/>
  <c r="C10"/>
  <c r="K10" s="1"/>
  <c r="A10"/>
  <c r="G7"/>
  <c r="H36" s="1"/>
  <c r="L36" s="1"/>
  <c r="M36" l="1"/>
  <c r="M10" i="34"/>
  <c r="H13" i="32"/>
  <c r="L13" s="1"/>
  <c r="M13" s="1"/>
  <c r="H18"/>
  <c r="L18" s="1"/>
  <c r="M18" s="1"/>
  <c r="H23"/>
  <c r="L23" s="1"/>
  <c r="M23" s="1"/>
  <c r="H29"/>
  <c r="L29" s="1"/>
  <c r="M29" s="1"/>
  <c r="H34"/>
  <c r="L34" s="1"/>
  <c r="M34" s="1"/>
  <c r="H14"/>
  <c r="L14" s="1"/>
  <c r="M14" s="1"/>
  <c r="H19"/>
  <c r="L19" s="1"/>
  <c r="M19" s="1"/>
  <c r="H25"/>
  <c r="L25" s="1"/>
  <c r="M25" s="1"/>
  <c r="H30"/>
  <c r="L30" s="1"/>
  <c r="M30" s="1"/>
  <c r="H35"/>
  <c r="L35" s="1"/>
  <c r="M35" s="1"/>
  <c r="H15"/>
  <c r="L15" s="1"/>
  <c r="M15" s="1"/>
  <c r="H21"/>
  <c r="L21" s="1"/>
  <c r="M21" s="1"/>
  <c r="H26"/>
  <c r="L26" s="1"/>
  <c r="M26" s="1"/>
  <c r="H31"/>
  <c r="L31" s="1"/>
  <c r="M31" s="1"/>
  <c r="H37"/>
  <c r="L37" s="1"/>
  <c r="M37" s="1"/>
  <c r="H11"/>
  <c r="L11" s="1"/>
  <c r="M11" s="1"/>
  <c r="H17"/>
  <c r="L17" s="1"/>
  <c r="M17" s="1"/>
  <c r="H22"/>
  <c r="L22" s="1"/>
  <c r="M22" s="1"/>
  <c r="H27"/>
  <c r="L27" s="1"/>
  <c r="M27" s="1"/>
  <c r="H33"/>
  <c r="L33" s="1"/>
  <c r="M33" s="1"/>
  <c r="H38"/>
  <c r="L38" s="1"/>
  <c r="M38" s="1"/>
  <c r="H12"/>
  <c r="L12" s="1"/>
  <c r="M12" s="1"/>
  <c r="H16"/>
  <c r="L16" s="1"/>
  <c r="M16" s="1"/>
  <c r="H20"/>
  <c r="L20" s="1"/>
  <c r="M20" s="1"/>
  <c r="H24"/>
  <c r="L24" s="1"/>
  <c r="M24" s="1"/>
  <c r="H28"/>
  <c r="L28" s="1"/>
  <c r="M28" s="1"/>
  <c r="H32"/>
  <c r="L32" s="1"/>
  <c r="M32" s="1"/>
  <c r="M10" l="1"/>
</calcChain>
</file>

<file path=xl/sharedStrings.xml><?xml version="1.0" encoding="utf-8"?>
<sst xmlns="http://schemas.openxmlformats.org/spreadsheetml/2006/main" count="317" uniqueCount="188">
  <si>
    <t>№</t>
  </si>
  <si>
    <t>Итого по поселениям</t>
  </si>
  <si>
    <t>Индекс расходов бюджета</t>
  </si>
  <si>
    <t>Численность постоянного населения</t>
  </si>
  <si>
    <t>Ячейки, выделенные цветом заполняются районом самостоятельно</t>
  </si>
  <si>
    <t>Наименования поселений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</si>
  <si>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</si>
  <si>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</si>
  <si>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</si>
  <si>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Лишние строки по поселениям удалите с конца списка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</si>
  <si>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</si>
  <si>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t>28 Березовское с.п.</t>
  </si>
  <si>
    <t>28 Бирюсинское г.п.</t>
  </si>
  <si>
    <t>28 Бирюсинское с.п.</t>
  </si>
  <si>
    <t>28 Борисовское с.п.</t>
  </si>
  <si>
    <t>28 Бузыкановское с.п.</t>
  </si>
  <si>
    <t>28 Венгерское с.п.</t>
  </si>
  <si>
    <t>28 Джогинское с.п.</t>
  </si>
  <si>
    <t>28 Зареченское с.п.</t>
  </si>
  <si>
    <t>28 Квитокское г.п.</t>
  </si>
  <si>
    <t>28 Мирнинское с.п.</t>
  </si>
  <si>
    <t>28 Нижнезаимское с.п.</t>
  </si>
  <si>
    <t>28 Николаевское с.п.</t>
  </si>
  <si>
    <t>28 Новобирюсинское г.п.</t>
  </si>
  <si>
    <t>28 Полинчетское с.п.</t>
  </si>
  <si>
    <t>28 Половино-Черемховское с.п.</t>
  </si>
  <si>
    <t>28 Разгонское с.п.</t>
  </si>
  <si>
    <t>28 Рождественское с.п.</t>
  </si>
  <si>
    <t>28 Соляновское с.п.</t>
  </si>
  <si>
    <t>28 Старо-Акульшетское с.п.</t>
  </si>
  <si>
    <t>28 Тайшетское г.п.</t>
  </si>
  <si>
    <t>28 Тальское с.п.</t>
  </si>
  <si>
    <t>28 Тамтачетское с.п.</t>
  </si>
  <si>
    <t>28 Тимирязевское с.п.</t>
  </si>
  <si>
    <t>28 Черчетское с.п.</t>
  </si>
  <si>
    <t>28 Шелаевское с.п.</t>
  </si>
  <si>
    <t>28 Шелеховское с.п.</t>
  </si>
  <si>
    <t>28 Шиткинское г.п.</t>
  </si>
  <si>
    <t>28 Юртинское г.п.</t>
  </si>
  <si>
    <r>
      <t xml:space="preserve">Оценка расходов поселений на содержание </t>
    </r>
    <r>
      <rPr>
        <b/>
        <sz val="12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</si>
  <si>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</si>
  <si>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</t>
    </r>
    <r>
      <rPr>
        <b/>
        <sz val="12"/>
        <rFont val="Times New Roman"/>
        <family val="1"/>
        <charset val="204"/>
      </rPr>
      <t>благоустройству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</si>
  <si>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1"/>
        <rFont val="Times New Roman"/>
        <family val="1"/>
        <charset val="204"/>
      </rPr>
      <t>электро-, тепло-</t>
    </r>
    <r>
      <rPr>
        <sz val="11"/>
        <rFont val="Times New Roman"/>
        <family val="1"/>
        <charset val="204"/>
      </rPr>
      <t>...</t>
    </r>
  </si>
  <si>
    <r>
      <t>Весовые коэффициенты устанавлииваются районом Решением Думы района одинаковые для всех поселений</t>
    </r>
    <r>
      <rPr>
        <b/>
        <sz val="14"/>
        <color rgb="FF0000FF"/>
        <rFont val="Times New Roman"/>
        <family val="1"/>
        <charset val="204"/>
      </rPr>
      <t xml:space="preserve"> а</t>
    </r>
    <r>
      <rPr>
        <b/>
        <vertAlign val="subscript"/>
        <sz val="14"/>
        <color rgb="FF0000FF"/>
        <rFont val="Times New Roman"/>
        <family val="1"/>
        <charset val="204"/>
      </rPr>
      <t>1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2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3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4</t>
    </r>
    <r>
      <rPr>
        <b/>
        <sz val="14"/>
        <color rgb="FF0000FF"/>
        <rFont val="Times New Roman"/>
        <family val="1"/>
        <charset val="204"/>
      </rPr>
      <t>=1</t>
    </r>
  </si>
  <si>
    <r>
      <t>ИБР=(а</t>
    </r>
    <r>
      <rPr>
        <b/>
        <vertAlign val="subscript"/>
        <sz val="20"/>
        <color rgb="FF0000FF"/>
        <rFont val="Times New Roman"/>
        <family val="1"/>
        <charset val="204"/>
      </rPr>
      <t>1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ОМСУ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2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КУЛ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3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БЛ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4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ЭЛ</t>
    </r>
    <r>
      <rPr>
        <b/>
        <sz val="20"/>
        <color rgb="FF0000FF"/>
        <rFont val="Times New Roman"/>
        <family val="1"/>
        <charset val="204"/>
      </rPr>
      <t>)/</t>
    </r>
    <r>
      <rPr>
        <b/>
        <sz val="20"/>
        <color rgb="FFFF0000"/>
        <rFont val="Times New Roman"/>
        <family val="1"/>
        <charset val="204"/>
      </rPr>
      <t>ЧН</t>
    </r>
  </si>
  <si>
    <t>3404101 Сельское поселение "Бильчир"</t>
  </si>
  <si>
    <t>3404102 Сельское поселение "Бурят-Янгуты"</t>
  </si>
  <si>
    <t>3404103 Сельское поселение "Ирхидей"</t>
  </si>
  <si>
    <t>3404104 Сельское поселение "Каха-Онгойское"</t>
  </si>
  <si>
    <t>3404105 Сельское поселение "Майск"</t>
  </si>
  <si>
    <t>3404106 Сельское поселение "Ново-Ленино"</t>
  </si>
  <si>
    <t>3404107 Сельское поселение "Обуса"</t>
  </si>
  <si>
    <t>3404108 Сельское поселение "Оса"</t>
  </si>
  <si>
    <t>3404109 Сельское поселение "Поселок Приморский"</t>
  </si>
  <si>
    <t>3404110 Сельское поселение "Русские Янгуты"</t>
  </si>
  <si>
    <t>3404111 Сельское поселение "Улейское"</t>
  </si>
  <si>
    <t>3404112 Сельское поселение "Усть-Алтан"</t>
  </si>
  <si>
    <t xml:space="preserve">3402401 Березняковское сельское поселение </t>
  </si>
  <si>
    <t>3402402 Брусничное сельское поселение</t>
  </si>
  <si>
    <t>3402403 Видимское городское поселение</t>
  </si>
  <si>
    <t>3402404 Дальнинское сельское поселение</t>
  </si>
  <si>
    <t>3402405 Железногорск-Илимское городское поселение</t>
  </si>
  <si>
    <t xml:space="preserve">3402406 Заморское сельское поселение </t>
  </si>
  <si>
    <t xml:space="preserve">3402407 Коршуновское сельское поселение </t>
  </si>
  <si>
    <t>3402408 Новоигирминское городское поселение</t>
  </si>
  <si>
    <t>3402409 Новоилимское сельское поселение</t>
  </si>
  <si>
    <t>3402410 Радищевское городское поселение</t>
  </si>
  <si>
    <t xml:space="preserve">3402411 Речушинское сельское поселение </t>
  </si>
  <si>
    <t>3402412 Рудногорское городское поселение</t>
  </si>
  <si>
    <t xml:space="preserve">3402413 Семигорское сельское поселение </t>
  </si>
  <si>
    <t xml:space="preserve">3402414 Соцгородское сельское поселение </t>
  </si>
  <si>
    <t>3402415 Хребтовское городское поселение</t>
  </si>
  <si>
    <t>3402416 Шестаковское городское поселение</t>
  </si>
  <si>
    <t>3402417 Янгелевское городское поселение</t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</si>
  <si>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культуры, физкультуры</t>
    </r>
  </si>
  <si>
    <t>Налоговые доходы</t>
  </si>
  <si>
    <t>ИНП</t>
  </si>
  <si>
    <t>ДОТАЦИЯ</t>
  </si>
  <si>
    <t>БО</t>
  </si>
  <si>
    <t>в расчете на 1 жителя</t>
  </si>
  <si>
    <t>содержание ОМСУ</t>
  </si>
  <si>
    <t>организация культуры</t>
  </si>
  <si>
    <t>дороги и благоустройство</t>
  </si>
  <si>
    <t>электро-, тепло-...</t>
  </si>
  <si>
    <t>С учетом весовых коэффициентов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</si>
  <si>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</si>
  <si>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</si>
  <si>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>...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</si>
  <si>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по дорогам и благоустройству</t>
    </r>
  </si>
  <si>
    <t>Индекс расходов бюджета, ИБР</t>
  </si>
  <si>
    <t>РАСЧЕТ ИБР ДЛЯ ВЫРАВНИВАНИЯ ПОСЕЛЕНИЙ</t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</si>
  <si>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</t>
    </r>
  </si>
  <si>
    <t>организация культуры, физкультуры</t>
  </si>
  <si>
    <r>
      <t>а</t>
    </r>
    <r>
      <rPr>
        <b/>
        <vertAlign val="subscript"/>
        <sz val="18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</si>
  <si>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</si>
  <si>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</si>
  <si>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</si>
  <si>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5</t>
    </r>
  </si>
  <si>
    <t>софинансирование</t>
  </si>
  <si>
    <r>
      <t>ИБР=А1×К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ОМСУ</t>
    </r>
    <r>
      <rPr>
        <b/>
        <sz val="20"/>
        <rFont val="Times New Roman"/>
        <family val="1"/>
        <charset val="204"/>
      </rPr>
      <t>+А2×К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КУЛ</t>
    </r>
    <r>
      <rPr>
        <b/>
        <sz val="20"/>
        <rFont val="Times New Roman"/>
        <family val="1"/>
        <charset val="204"/>
      </rPr>
      <t>+А3×К</t>
    </r>
    <r>
      <rPr>
        <b/>
        <vertAlign val="superscript"/>
        <sz val="20"/>
        <rFont val="Times New Roman"/>
        <family val="1"/>
        <charset val="204"/>
      </rPr>
      <t>iДОР</t>
    </r>
    <r>
      <rPr>
        <b/>
        <sz val="20"/>
        <rFont val="Times New Roman"/>
        <family val="1"/>
        <charset val="204"/>
      </rPr>
      <t>+А4×К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ЖКУ</t>
    </r>
    <r>
      <rPr>
        <b/>
        <sz val="20"/>
        <rFont val="Times New Roman"/>
        <family val="1"/>
        <charset val="204"/>
      </rPr>
      <t>+А5×К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СОФ</t>
    </r>
  </si>
  <si>
    <t>РАСЧЕТ ИНДЕКСА БЮДЖЕТНЫХ РАСХОДОВ (ИБР) ДЛЯ ВЫРАВНИВАНИЯ ПОСЕЛЕНИЙ</t>
  </si>
  <si>
    <r>
      <t>Уровень бюджетной обеспеченности (БО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</t>
    </r>
  </si>
  <si>
    <t>Индекс налогового потенциала 
(ИНП)</t>
  </si>
  <si>
    <t>Индекс бюджетных расходов 
(ИБР)</t>
  </si>
  <si>
    <r>
      <t>Уровень бюджетной обеспеченности с учетом дотации на выравнивание бюджетной обеспеченности поселений из областного бюджета (БО</t>
    </r>
    <r>
      <rPr>
        <vertAlign val="subscript"/>
        <sz val="10"/>
        <rFont val="Times New Roman"/>
        <family val="1"/>
        <charset val="204"/>
      </rPr>
      <t>i</t>
    </r>
    <r>
      <rPr>
        <vertAlign val="superscript"/>
        <sz val="10"/>
        <rFont val="Times New Roman"/>
        <family val="1"/>
        <charset val="204"/>
      </rPr>
      <t>+1</t>
    </r>
    <r>
      <rPr>
        <sz val="10"/>
        <rFont val="Times New Roman"/>
        <family val="1"/>
        <charset val="204"/>
      </rPr>
      <t>)</t>
    </r>
  </si>
  <si>
    <t>РАСЧЕТ ИНП ДЛЯ ВЫРАВНИВАНИЯ БЮДЖЕТНОЙ ОБЕСПЕЧЕННОСТИ ПОСЕЛЕНИЙ ИЗ БЮДЖЕТА МУНИЦИПАЛЬНОГО РАЙОНА*</t>
  </si>
  <si>
    <t>Ячейки, выделенные цветом, заполняются районом самостоятельно</t>
  </si>
  <si>
    <r>
      <t>Прогнозируемый объем поступлений по j-му виду дохода в бюджеты всех городских и сельских поселений муниципального района (ПП</t>
    </r>
    <r>
      <rPr>
        <vertAlign val="superscript"/>
        <sz val="12"/>
        <rFont val="Arial"/>
        <family val="2"/>
      </rPr>
      <t>j</t>
    </r>
    <r>
      <rPr>
        <sz val="12"/>
        <rFont val="Arial"/>
        <family val="2"/>
      </rPr>
      <t>)</t>
    </r>
  </si>
  <si>
    <t>X</t>
  </si>
  <si>
    <t>№ п/п</t>
  </si>
  <si>
    <t>Наименование городского (сельского) поселения</t>
  </si>
  <si>
    <t>Численность постоянного населения i-го городского (сельского) поселения, чел.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</si>
  <si>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</si>
  <si>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</si>
  <si>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</si>
  <si>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</si>
  <si>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НПi</t>
  </si>
  <si>
    <t>Ki 
(расчитывается в соответствии с п.11 Приложения 9 к Закону Иркутской области от 22.10.2013 №74-оз)</t>
  </si>
  <si>
    <t>ИНПi</t>
  </si>
  <si>
    <r>
      <t>Н</t>
    </r>
    <r>
      <rPr>
        <vertAlign val="subscript"/>
        <sz val="10"/>
        <rFont val="Arial Cyr"/>
        <charset val="204"/>
      </rPr>
      <t>i</t>
    </r>
  </si>
  <si>
    <t>* в случае отсутствия возможности расчета индекса налогового потенциала i-го городского (сельского) поселения его значение принимается равным 1 (п.8 приложения 9 к Закону Иркутской области от 22.10.2013 №74-ОЗ).</t>
  </si>
  <si>
    <t>расчетная сумма налоговых доходов по всем ГСП МР (ПП)</t>
  </si>
  <si>
    <t>Численность постоянного населения, человек
(Н)</t>
  </si>
  <si>
    <r>
      <t>БО</t>
    </r>
    <r>
      <rPr>
        <b/>
        <vertAlign val="superscript"/>
        <sz val="10"/>
        <rFont val="Times New Roman"/>
        <family val="1"/>
        <charset val="204"/>
      </rPr>
      <t>max</t>
    </r>
  </si>
  <si>
    <r>
      <t>Дотация на выравнивание бюджетной обеспеченности поселений (Д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), тыс. рублей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</si>
  <si>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на софинансирование по другим направлениям</t>
    </r>
  </si>
  <si>
    <r>
      <t xml:space="preserve">Ячейка </t>
    </r>
    <r>
      <rPr>
        <b/>
        <sz val="10"/>
        <color rgb="FFFF0000"/>
        <rFont val="Times New Roman"/>
        <family val="1"/>
        <charset val="204"/>
      </rPr>
      <t>I6</t>
    </r>
    <r>
      <rPr>
        <sz val="10"/>
        <rFont val="Times New Roman"/>
        <family val="1"/>
        <charset val="204"/>
      </rPr>
      <t xml:space="preserve"> должна быть равна общему распределяемому объему дотаций с учетом субсидии из ОБ. Для этого подбираем ячейку </t>
    </r>
    <r>
      <rPr>
        <b/>
        <sz val="10"/>
        <color rgb="FFFF0000"/>
        <rFont val="Times New Roman"/>
        <family val="1"/>
        <charset val="204"/>
      </rPr>
      <t>I3</t>
    </r>
  </si>
  <si>
    <t>Батаминское с.п.</t>
  </si>
  <si>
    <t>Буринское с.п.</t>
  </si>
  <si>
    <t>Зулумайское с.п.</t>
  </si>
  <si>
    <t>Кимильтейское с.п.</t>
  </si>
  <si>
    <t>Масляногорское с.п.</t>
  </si>
  <si>
    <t>Покровское с.п.</t>
  </si>
  <si>
    <t>Услонское с.п.</t>
  </si>
  <si>
    <t>Ухтуйское с.п.</t>
  </si>
  <si>
    <t>Филипповское с.п.</t>
  </si>
  <si>
    <t>Хазанское с.п.</t>
  </si>
  <si>
    <t>Харайгунское с.п.</t>
  </si>
  <si>
    <t>Кi1 (для городских поселений - 1, для сельских поселений - 0,8)</t>
  </si>
  <si>
    <t>Кi2 (показатель для расчета, устанавливается решением о бюджете)</t>
  </si>
  <si>
    <t>Мi1 (Количество населенных пунктов муниципального образования)</t>
  </si>
  <si>
    <t>В ПРОЕКТ БЮДЖЕТА (рублей)</t>
  </si>
  <si>
    <t>Распределяемый объем МБТ, рублей:</t>
  </si>
  <si>
    <t>Наименование показателя</t>
  </si>
  <si>
    <t>Условные обозначения</t>
  </si>
  <si>
    <t>Источник</t>
  </si>
  <si>
    <t>Ед.изм.</t>
  </si>
  <si>
    <t>сумма</t>
  </si>
  <si>
    <t>Объем налоговых доходов (за исключением налоговых доходов по дополнительным нормативам отчислений) бюджета муниц. района, утвержденные решением на очередной финансовый год</t>
  </si>
  <si>
    <t>НД</t>
  </si>
  <si>
    <t>Расчет</t>
  </si>
  <si>
    <t>руб.</t>
  </si>
  <si>
    <t>Размер дотации на выравнивание бюджетной обеспеченности муниц. района (а также объем налоговых доходов по дополнительным нормативам отчислений) бюджету муниц. района, утвержденный законом области</t>
  </si>
  <si>
    <t>ДВБОМР</t>
  </si>
  <si>
    <t>Закон Иркутской области</t>
  </si>
  <si>
    <t>Объем налоговых доходов поселений по единым нормативам отчислений от налогов и сборов, подлежащих зачислению в бюджет муниц.района, в бюджет поселений, установленные предст. органом муниц.района в соответствии с ч. 4 ст. 61.5 БК РФ</t>
  </si>
  <si>
    <r>
      <t xml:space="preserve">НД </t>
    </r>
    <r>
      <rPr>
        <vertAlign val="superscript"/>
        <sz val="12"/>
        <rFont val="Times New Roman"/>
        <family val="1"/>
        <charset val="204"/>
      </rPr>
      <t>ЕН</t>
    </r>
  </si>
  <si>
    <t>Объем иных межбюджетных трансфертов поселениям, утвержденный решением представительного органа муниципального района о бюджете муниципального района, за исключением иных МБТ на осуществление части полномочий по решению вопросов местного значения в соответствии с заключенными соглашениями</t>
  </si>
  <si>
    <r>
      <t xml:space="preserve">МБТ </t>
    </r>
    <r>
      <rPr>
        <vertAlign val="superscript"/>
        <sz val="12"/>
        <rFont val="Times New Roman"/>
        <family val="1"/>
        <charset val="204"/>
      </rPr>
      <t>ВМЗ</t>
    </r>
  </si>
  <si>
    <t>Объем иных МБТ= 0,075 х (НД+ДВБОМР(ГО))  - НДЕН</t>
  </si>
  <si>
    <r>
      <t>Свыр</t>
    </r>
    <r>
      <rPr>
        <vertAlign val="superscript"/>
        <sz val="12"/>
        <rFont val="Times New Roman"/>
        <family val="1"/>
        <charset val="204"/>
      </rPr>
      <t>пос</t>
    </r>
  </si>
  <si>
    <t>ИТОГО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</si>
  <si>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(0102, 0104)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</si>
  <si>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(0800, 1100)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</si>
  <si>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по дорогам 0409 (кроме средств дорожного фонда и капитального ремонта дорог) и благоустройству 0503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</si>
  <si>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 xml:space="preserve">… </t>
    </r>
    <r>
      <rPr>
        <b/>
        <sz val="10"/>
        <rFont val="Times New Roman"/>
        <family val="1"/>
        <charset val="204"/>
      </rPr>
      <t>0502</t>
    </r>
  </si>
  <si>
    <t>211, 213 (оценка ФУ)</t>
  </si>
  <si>
    <t>221, 223, ГПХ (потребность МО)</t>
  </si>
  <si>
    <t>221, 223, ГПХ, терморобот (потребность МО)</t>
  </si>
  <si>
    <t>0409 (потребность МО)</t>
  </si>
  <si>
    <t>0503  223 (потребность МО)</t>
  </si>
  <si>
    <t>223, ГПХ, терморобот (потребность МО)</t>
  </si>
  <si>
    <t>ГПХ</t>
  </si>
  <si>
    <t>терморобот</t>
  </si>
  <si>
    <t>Объем субсидии на выравнивание уровня бюджетной обеспеченности поселений Иркутской области, входящих в состав муниципального района Иркутской области</t>
  </si>
  <si>
    <t>(тыс. рублей)</t>
  </si>
  <si>
    <t>2020
(поступления)</t>
  </si>
  <si>
    <r>
      <t>Весовые коэффициенты устанавливаются районом Решением Думы района одинаковые для всех поселений</t>
    </r>
    <r>
      <rPr>
        <b/>
        <sz val="14"/>
        <rFont val="Times New Roman"/>
        <family val="1"/>
        <charset val="204"/>
      </rPr>
      <t xml:space="preserve"> а</t>
    </r>
    <r>
      <rPr>
        <b/>
        <vertAlign val="sub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4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5</t>
    </r>
    <r>
      <rPr>
        <b/>
        <sz val="14"/>
        <rFont val="Times New Roman"/>
        <family val="1"/>
        <charset val="204"/>
      </rPr>
      <t>=1</t>
    </r>
  </si>
  <si>
    <t>дотация из местного бюджета</t>
  </si>
  <si>
    <t>на 01.01.2022</t>
  </si>
  <si>
    <t>2021
(поступления)</t>
  </si>
  <si>
    <t>1 полугодие 2022
(поступления)</t>
  </si>
  <si>
    <r>
      <t>Д= 0,075 х (НД+ДВБОМР(ГО))  - НД</t>
    </r>
    <r>
      <rPr>
        <b/>
        <vertAlign val="superscript"/>
        <sz val="11"/>
        <color theme="1"/>
        <rFont val="Times New Roman"/>
        <family val="1"/>
        <charset val="204"/>
      </rPr>
      <t>ЕН</t>
    </r>
    <r>
      <rPr>
        <b/>
        <sz val="11"/>
        <color theme="1"/>
        <rFont val="Times New Roman"/>
        <family val="1"/>
        <charset val="204"/>
      </rPr>
      <t>- МБТ</t>
    </r>
    <r>
      <rPr>
        <b/>
        <vertAlign val="superscript"/>
        <sz val="11"/>
        <color theme="1"/>
        <rFont val="Times New Roman"/>
        <family val="1"/>
        <charset val="204"/>
      </rPr>
      <t>ВМЗ</t>
    </r>
    <r>
      <rPr>
        <b/>
        <sz val="11"/>
        <color theme="1"/>
        <rFont val="Times New Roman"/>
        <family val="1"/>
        <charset val="204"/>
      </rPr>
      <t/>
    </r>
  </si>
  <si>
    <t>выборы</t>
  </si>
  <si>
    <t>ГСМ, дрова, уголь</t>
  </si>
  <si>
    <t>софин</t>
  </si>
  <si>
    <t>РАСЧЕТ ДОТАЦИИ НА ВЫРАВНИВАНИЕ БЮДЖЕТНОЙ ОБЕСПЕЧЕННОСТИ ПОСЕЛЕНИЙ НА 2025 ГОД</t>
  </si>
  <si>
    <t>Оценка расходов поселений Зиминского районного муниципального образования для расчета дотации на выравнивание бюджетной обеспеченности на 2025 год</t>
  </si>
</sst>
</file>

<file path=xl/styles.xml><?xml version="1.0" encoding="utf-8"?>
<styleSheet xmlns="http://schemas.openxmlformats.org/spreadsheetml/2006/main">
  <numFmts count="13">
    <numFmt numFmtId="43" formatCode="_-* #,##0.00_р_._-;\-* #,##0.00_р_._-;_-* &quot;-&quot;??_р_._-;_-@_-"/>
    <numFmt numFmtId="164" formatCode="#,##0.000"/>
    <numFmt numFmtId="165" formatCode="\$#,##0\ ;\(\$#,##0\)"/>
    <numFmt numFmtId="166" formatCode="0.0000"/>
    <numFmt numFmtId="167" formatCode="#,##0.0000_ ;[Red]\-#,##0.0000\ "/>
    <numFmt numFmtId="168" formatCode="0.0"/>
    <numFmt numFmtId="169" formatCode="#,##0.0"/>
    <numFmt numFmtId="170" formatCode="0.0000000000000"/>
    <numFmt numFmtId="171" formatCode="_-* #,##0.0_р_._-;\-* #,##0.0_р_._-;_-* &quot;-&quot;??_р_._-;_-@_-"/>
    <numFmt numFmtId="172" formatCode="0.000000"/>
    <numFmt numFmtId="173" formatCode="0.00000"/>
    <numFmt numFmtId="174" formatCode="#,##0.00000"/>
    <numFmt numFmtId="176" formatCode="#,##0.0000"/>
  </numFmts>
  <fonts count="97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sz val="10"/>
      <name val="MS Sans Serif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color indexed="9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2"/>
      <color indexed="20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b/>
      <sz val="12"/>
      <color indexed="8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rgb="FF0000FF"/>
      <name val="Times New Roman"/>
      <family val="1"/>
      <charset val="204"/>
    </font>
    <font>
      <b/>
      <vertAlign val="subscript"/>
      <sz val="20"/>
      <color rgb="FF0000FF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vertAlign val="superscript"/>
      <sz val="20"/>
      <color rgb="FFFF0000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vertAlign val="subscript"/>
      <sz val="18"/>
      <color rgb="FF0000FF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vertAlign val="subscript"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bscript"/>
      <sz val="18"/>
      <name val="Times New Roman"/>
      <family val="1"/>
      <charset val="204"/>
    </font>
    <font>
      <b/>
      <vertAlign val="subscript"/>
      <sz val="20"/>
      <name val="Times New Roman"/>
      <family val="1"/>
      <charset val="204"/>
    </font>
    <font>
      <b/>
      <vertAlign val="superscript"/>
      <sz val="20"/>
      <name val="Times New Roman"/>
      <family val="1"/>
      <charset val="204"/>
    </font>
    <font>
      <b/>
      <vertAlign val="subscript"/>
      <sz val="14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0"/>
      <name val="Arial Cyr"/>
      <family val="2"/>
      <charset val="204"/>
    </font>
    <font>
      <b/>
      <sz val="11"/>
      <name val="Arial Cyr"/>
      <charset val="204"/>
    </font>
    <font>
      <b/>
      <sz val="10"/>
      <name val="Arial Cyr"/>
      <family val="2"/>
      <charset val="204"/>
    </font>
    <font>
      <vertAlign val="subscript"/>
      <sz val="10"/>
      <name val="Arial Cyr"/>
      <charset val="204"/>
    </font>
    <font>
      <b/>
      <sz val="14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Arial Cyr"/>
      <charset val="204"/>
    </font>
    <font>
      <b/>
      <sz val="14"/>
      <color rgb="FFFF000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5">
    <xf numFmtId="0" fontId="0" fillId="0" borderId="0"/>
    <xf numFmtId="43" fontId="7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2" applyNumberFormat="0" applyAlignment="0" applyProtection="0"/>
    <xf numFmtId="0" fontId="15" fillId="22" borderId="3" applyNumberFormat="0" applyAlignment="0" applyProtection="0"/>
    <xf numFmtId="43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2" applyNumberFormat="0" applyAlignment="0" applyProtection="0"/>
    <xf numFmtId="0" fontId="22" fillId="0" borderId="7" applyNumberFormat="0" applyFill="0" applyAlignment="0" applyProtection="0"/>
    <xf numFmtId="0" fontId="23" fillId="23" borderId="0" applyNumberFormat="0" applyBorder="0" applyAlignment="0" applyProtection="0"/>
    <xf numFmtId="0" fontId="7" fillId="0" borderId="0"/>
    <xf numFmtId="0" fontId="7" fillId="24" borderId="8" applyNumberFormat="0" applyFont="0" applyAlignment="0" applyProtection="0"/>
    <xf numFmtId="0" fontId="7" fillId="24" borderId="8" applyNumberFormat="0" applyFont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28" fillId="8" borderId="2" applyNumberFormat="0" applyAlignment="0" applyProtection="0"/>
    <xf numFmtId="0" fontId="29" fillId="21" borderId="9" applyNumberFormat="0" applyAlignment="0" applyProtection="0"/>
    <xf numFmtId="0" fontId="30" fillId="21" borderId="2" applyNumberFormat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5" fillId="22" borderId="3" applyNumberFormat="0" applyAlignment="0" applyProtection="0"/>
    <xf numFmtId="0" fontId="25" fillId="0" borderId="0" applyNumberFormat="0" applyFill="0" applyBorder="0" applyAlignment="0" applyProtection="0"/>
    <xf numFmtId="0" fontId="36" fillId="23" borderId="0" applyNumberFormat="0" applyBorder="0" applyAlignment="0" applyProtection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7" fillId="24" borderId="8" applyNumberFormat="0" applyFont="0" applyAlignment="0" applyProtection="0"/>
    <xf numFmtId="0" fontId="7" fillId="24" borderId="8" applyNumberFormat="0" applyFont="0" applyAlignment="0" applyProtection="0"/>
    <xf numFmtId="9" fontId="7" fillId="0" borderId="0" applyFont="0" applyFill="0" applyBorder="0" applyAlignment="0" applyProtection="0"/>
    <xf numFmtId="0" fontId="39" fillId="0" borderId="7" applyNumberFormat="0" applyFill="0" applyAlignment="0" applyProtection="0"/>
    <xf numFmtId="0" fontId="40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41" fillId="5" borderId="0" applyNumberFormat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7" fillId="0" borderId="0"/>
  </cellStyleXfs>
  <cellXfs count="262">
    <xf numFmtId="0" fontId="0" fillId="0" borderId="0" xfId="0"/>
    <xf numFmtId="0" fontId="43" fillId="0" borderId="0" xfId="9" applyFont="1" applyFill="1"/>
    <xf numFmtId="1" fontId="43" fillId="0" borderId="1" xfId="9" applyNumberFormat="1" applyFont="1" applyFill="1" applyBorder="1" applyAlignment="1">
      <alignment horizontal="center" vertical="center" wrapText="1"/>
    </xf>
    <xf numFmtId="49" fontId="43" fillId="0" borderId="1" xfId="9" applyNumberFormat="1" applyFont="1" applyFill="1" applyBorder="1" applyAlignment="1" applyProtection="1">
      <alignment horizontal="center" vertical="center" wrapText="1"/>
    </xf>
    <xf numFmtId="49" fontId="43" fillId="0" borderId="1" xfId="9" applyNumberFormat="1" applyFont="1" applyFill="1" applyBorder="1" applyAlignment="1">
      <alignment horizontal="center" vertical="center" wrapText="1"/>
    </xf>
    <xf numFmtId="0" fontId="43" fillId="0" borderId="0" xfId="9" applyFont="1" applyFill="1" applyAlignment="1">
      <alignment horizontal="center" vertical="center" wrapText="1"/>
    </xf>
    <xf numFmtId="0" fontId="44" fillId="0" borderId="0" xfId="9" applyFont="1" applyFill="1" applyAlignment="1">
      <alignment wrapText="1"/>
    </xf>
    <xf numFmtId="0" fontId="44" fillId="0" borderId="0" xfId="9" applyFont="1" applyFill="1" applyAlignment="1">
      <alignment horizontal="center" wrapText="1"/>
    </xf>
    <xf numFmtId="0" fontId="43" fillId="0" borderId="0" xfId="9" applyFont="1" applyFill="1" applyAlignment="1">
      <alignment horizontal="center"/>
    </xf>
    <xf numFmtId="0" fontId="44" fillId="0" borderId="0" xfId="9" applyFont="1" applyFill="1"/>
    <xf numFmtId="0" fontId="42" fillId="0" borderId="0" xfId="9" applyFont="1" applyFill="1" applyBorder="1" applyAlignment="1">
      <alignment horizontal="center"/>
    </xf>
    <xf numFmtId="0" fontId="43" fillId="0" borderId="0" xfId="9" applyFont="1" applyFill="1" applyBorder="1"/>
    <xf numFmtId="0" fontId="52" fillId="0" borderId="11" xfId="9" applyFont="1" applyFill="1" applyBorder="1" applyAlignment="1">
      <alignment horizontal="center"/>
    </xf>
    <xf numFmtId="0" fontId="44" fillId="0" borderId="0" xfId="9" applyFont="1" applyFill="1" applyBorder="1" applyAlignment="1">
      <alignment horizontal="center"/>
    </xf>
    <xf numFmtId="0" fontId="43" fillId="0" borderId="0" xfId="9" applyFont="1" applyFill="1" applyBorder="1" applyAlignment="1">
      <alignment horizontal="center"/>
    </xf>
    <xf numFmtId="49" fontId="44" fillId="25" borderId="1" xfId="9" applyNumberFormat="1" applyFont="1" applyFill="1" applyBorder="1" applyAlignment="1">
      <alignment horizontal="center" vertical="center" wrapText="1"/>
    </xf>
    <xf numFmtId="164" fontId="45" fillId="2" borderId="12" xfId="9" applyNumberFormat="1" applyFont="1" applyFill="1" applyBorder="1" applyAlignment="1">
      <alignment horizontal="center"/>
    </xf>
    <xf numFmtId="164" fontId="45" fillId="0" borderId="12" xfId="9" applyNumberFormat="1" applyFont="1" applyFill="1" applyBorder="1" applyAlignment="1">
      <alignment horizontal="center"/>
    </xf>
    <xf numFmtId="49" fontId="55" fillId="0" borderId="1" xfId="9" applyNumberFormat="1" applyFont="1" applyFill="1" applyBorder="1" applyAlignment="1">
      <alignment horizontal="center" vertical="center" wrapText="1"/>
    </xf>
    <xf numFmtId="0" fontId="54" fillId="0" borderId="0" xfId="9" applyFont="1" applyFill="1" applyBorder="1" applyAlignment="1">
      <alignment shrinkToFit="1"/>
    </xf>
    <xf numFmtId="3" fontId="46" fillId="0" borderId="1" xfId="8" applyNumberFormat="1" applyFont="1" applyFill="1" applyBorder="1" applyAlignment="1" applyProtection="1">
      <alignment horizontal="center" shrinkToFit="1"/>
    </xf>
    <xf numFmtId="49" fontId="44" fillId="0" borderId="1" xfId="9" applyNumberFormat="1" applyFont="1" applyFill="1" applyBorder="1" applyAlignment="1">
      <alignment horizontal="left" vertical="center" shrinkToFit="1"/>
    </xf>
    <xf numFmtId="3" fontId="44" fillId="0" borderId="1" xfId="9" applyNumberFormat="1" applyFont="1" applyFill="1" applyBorder="1" applyAlignment="1">
      <alignment horizontal="right" shrinkToFit="1"/>
    </xf>
    <xf numFmtId="3" fontId="44" fillId="0" borderId="1" xfId="9" applyNumberFormat="1" applyFont="1" applyFill="1" applyBorder="1" applyAlignment="1">
      <alignment shrinkToFit="1"/>
    </xf>
    <xf numFmtId="3" fontId="44" fillId="25" borderId="1" xfId="9" applyNumberFormat="1" applyFont="1" applyFill="1" applyBorder="1" applyAlignment="1">
      <alignment horizontal="right" shrinkToFit="1"/>
    </xf>
    <xf numFmtId="0" fontId="43" fillId="0" borderId="1" xfId="10" applyNumberFormat="1" applyFont="1" applyFill="1" applyBorder="1" applyAlignment="1">
      <alignment horizontal="center" vertical="center" shrinkToFit="1"/>
    </xf>
    <xf numFmtId="0" fontId="43" fillId="2" borderId="1" xfId="9" applyNumberFormat="1" applyFont="1" applyFill="1" applyBorder="1" applyAlignment="1">
      <alignment horizontal="left" shrinkToFit="1"/>
    </xf>
    <xf numFmtId="3" fontId="43" fillId="2" borderId="1" xfId="9" applyNumberFormat="1" applyFont="1" applyFill="1" applyBorder="1" applyAlignment="1">
      <alignment shrinkToFit="1"/>
    </xf>
    <xf numFmtId="3" fontId="43" fillId="2" borderId="1" xfId="9" applyNumberFormat="1" applyFont="1" applyFill="1" applyBorder="1" applyAlignment="1" applyProtection="1">
      <alignment shrinkToFit="1"/>
    </xf>
    <xf numFmtId="166" fontId="44" fillId="25" borderId="1" xfId="9" applyNumberFormat="1" applyFont="1" applyFill="1" applyBorder="1" applyAlignment="1">
      <alignment horizontal="right" shrinkToFit="1"/>
    </xf>
    <xf numFmtId="168" fontId="44" fillId="0" borderId="0" xfId="9" applyNumberFormat="1" applyFont="1" applyFill="1" applyAlignment="1">
      <alignment horizontal="center" wrapText="1"/>
    </xf>
    <xf numFmtId="0" fontId="59" fillId="0" borderId="0" xfId="9" applyFont="1" applyFill="1" applyAlignment="1">
      <alignment wrapText="1" shrinkToFit="1"/>
    </xf>
    <xf numFmtId="0" fontId="59" fillId="0" borderId="0" xfId="9" applyFont="1" applyFill="1" applyBorder="1" applyAlignment="1">
      <alignment wrapText="1" shrinkToFit="1"/>
    </xf>
    <xf numFmtId="0" fontId="59" fillId="0" borderId="0" xfId="9" applyFont="1" applyFill="1" applyBorder="1" applyAlignment="1">
      <alignment horizontal="center" wrapText="1" shrinkToFit="1"/>
    </xf>
    <xf numFmtId="49" fontId="59" fillId="0" borderId="1" xfId="9" applyNumberFormat="1" applyFont="1" applyFill="1" applyBorder="1" applyAlignment="1">
      <alignment horizontal="center" vertical="center" wrapText="1" shrinkToFit="1"/>
    </xf>
    <xf numFmtId="3" fontId="60" fillId="0" borderId="1" xfId="9" applyNumberFormat="1" applyFont="1" applyFill="1" applyBorder="1" applyAlignment="1">
      <alignment wrapText="1" shrinkToFit="1"/>
    </xf>
    <xf numFmtId="3" fontId="59" fillId="0" borderId="1" xfId="9" applyNumberFormat="1" applyFont="1" applyFill="1" applyBorder="1" applyAlignment="1" applyProtection="1">
      <alignment wrapText="1" shrinkToFit="1"/>
    </xf>
    <xf numFmtId="4" fontId="59" fillId="0" borderId="1" xfId="9" applyNumberFormat="1" applyFont="1" applyFill="1" applyBorder="1" applyAlignment="1" applyProtection="1">
      <alignment wrapText="1" shrinkToFit="1"/>
    </xf>
    <xf numFmtId="4" fontId="60" fillId="0" borderId="1" xfId="9" applyNumberFormat="1" applyFont="1" applyFill="1" applyBorder="1" applyAlignment="1" applyProtection="1">
      <alignment wrapText="1" shrinkToFit="1"/>
    </xf>
    <xf numFmtId="4" fontId="60" fillId="0" borderId="1" xfId="9" applyNumberFormat="1" applyFont="1" applyFill="1" applyBorder="1" applyAlignment="1">
      <alignment wrapText="1" shrinkToFit="1"/>
    </xf>
    <xf numFmtId="0" fontId="59" fillId="0" borderId="0" xfId="9" applyFont="1" applyFill="1" applyAlignment="1">
      <alignment horizontal="center" vertical="center" wrapText="1"/>
    </xf>
    <xf numFmtId="49" fontId="59" fillId="0" borderId="1" xfId="9" applyNumberFormat="1" applyFont="1" applyFill="1" applyBorder="1" applyAlignment="1">
      <alignment horizontal="center" vertical="center" wrapText="1"/>
    </xf>
    <xf numFmtId="3" fontId="61" fillId="0" borderId="1" xfId="8" applyNumberFormat="1" applyFont="1" applyFill="1" applyBorder="1" applyAlignment="1" applyProtection="1">
      <alignment horizontal="center" shrinkToFit="1"/>
    </xf>
    <xf numFmtId="49" fontId="60" fillId="0" borderId="1" xfId="9" applyNumberFormat="1" applyFont="1" applyFill="1" applyBorder="1" applyAlignment="1">
      <alignment horizontal="left" vertical="center" shrinkToFit="1"/>
    </xf>
    <xf numFmtId="3" fontId="60" fillId="0" borderId="1" xfId="9" applyNumberFormat="1" applyFont="1" applyFill="1" applyBorder="1" applyAlignment="1">
      <alignment horizontal="right" shrinkToFit="1"/>
    </xf>
    <xf numFmtId="9" fontId="60" fillId="0" borderId="1" xfId="102" applyFont="1" applyFill="1" applyBorder="1" applyAlignment="1">
      <alignment shrinkToFit="1"/>
    </xf>
    <xf numFmtId="3" fontId="60" fillId="25" borderId="1" xfId="9" applyNumberFormat="1" applyFont="1" applyFill="1" applyBorder="1" applyAlignment="1">
      <alignment horizontal="right" shrinkToFit="1"/>
    </xf>
    <xf numFmtId="0" fontId="60" fillId="0" borderId="0" xfId="9" applyFont="1" applyFill="1" applyAlignment="1">
      <alignment wrapText="1"/>
    </xf>
    <xf numFmtId="167" fontId="59" fillId="0" borderId="0" xfId="9" applyNumberFormat="1" applyFont="1" applyFill="1" applyAlignment="1">
      <alignment horizontal="right" wrapText="1"/>
    </xf>
    <xf numFmtId="0" fontId="59" fillId="0" borderId="1" xfId="10" applyNumberFormat="1" applyFont="1" applyFill="1" applyBorder="1" applyAlignment="1">
      <alignment horizontal="center" vertical="center" shrinkToFit="1"/>
    </xf>
    <xf numFmtId="9" fontId="59" fillId="0" borderId="1" xfId="102" applyFont="1" applyFill="1" applyBorder="1" applyAlignment="1" applyProtection="1">
      <alignment shrinkToFit="1"/>
    </xf>
    <xf numFmtId="168" fontId="60" fillId="0" borderId="0" xfId="9" applyNumberFormat="1" applyFont="1" applyFill="1" applyAlignment="1">
      <alignment horizontal="center" wrapText="1"/>
    </xf>
    <xf numFmtId="0" fontId="60" fillId="0" borderId="0" xfId="9" applyFont="1" applyFill="1" applyAlignment="1">
      <alignment horizontal="center" wrapText="1"/>
    </xf>
    <xf numFmtId="169" fontId="59" fillId="0" borderId="1" xfId="9" applyNumberFormat="1" applyFont="1" applyFill="1" applyBorder="1" applyAlignment="1" applyProtection="1">
      <alignment shrinkToFit="1"/>
    </xf>
    <xf numFmtId="2" fontId="60" fillId="25" borderId="1" xfId="9" applyNumberFormat="1" applyFont="1" applyFill="1" applyBorder="1" applyAlignment="1">
      <alignment horizontal="right" shrinkToFit="1"/>
    </xf>
    <xf numFmtId="0" fontId="62" fillId="0" borderId="0" xfId="9" applyFont="1" applyFill="1" applyBorder="1" applyAlignment="1">
      <alignment horizontal="center"/>
    </xf>
    <xf numFmtId="169" fontId="60" fillId="0" borderId="1" xfId="9" applyNumberFormat="1" applyFont="1" applyFill="1" applyBorder="1" applyAlignment="1">
      <alignment shrinkToFit="1"/>
    </xf>
    <xf numFmtId="164" fontId="45" fillId="2" borderId="12" xfId="9" applyNumberFormat="1" applyFont="1" applyFill="1" applyBorder="1" applyAlignment="1" applyProtection="1">
      <alignment horizontal="center"/>
      <protection locked="0"/>
    </xf>
    <xf numFmtId="0" fontId="59" fillId="2" borderId="1" xfId="9" applyNumberFormat="1" applyFont="1" applyFill="1" applyBorder="1" applyAlignment="1" applyProtection="1">
      <alignment horizontal="left" shrinkToFit="1"/>
      <protection locked="0"/>
    </xf>
    <xf numFmtId="3" fontId="59" fillId="2" borderId="1" xfId="9" applyNumberFormat="1" applyFont="1" applyFill="1" applyBorder="1" applyAlignment="1" applyProtection="1">
      <alignment shrinkToFit="1"/>
      <protection locked="0"/>
    </xf>
    <xf numFmtId="0" fontId="64" fillId="0" borderId="11" xfId="9" applyFont="1" applyFill="1" applyBorder="1" applyAlignment="1">
      <alignment horizontal="center"/>
    </xf>
    <xf numFmtId="164" fontId="44" fillId="0" borderId="12" xfId="9" applyNumberFormat="1" applyFont="1" applyFill="1" applyBorder="1" applyAlignment="1">
      <alignment horizontal="center"/>
    </xf>
    <xf numFmtId="2" fontId="60" fillId="0" borderId="0" xfId="9" applyNumberFormat="1" applyFont="1" applyFill="1" applyAlignment="1">
      <alignment horizontal="center" wrapText="1"/>
    </xf>
    <xf numFmtId="0" fontId="64" fillId="0" borderId="0" xfId="9" applyFont="1" applyFill="1" applyBorder="1" applyAlignment="1">
      <alignment horizontal="center"/>
    </xf>
    <xf numFmtId="164" fontId="44" fillId="0" borderId="0" xfId="9" applyNumberFormat="1" applyFont="1" applyFill="1" applyBorder="1" applyAlignment="1">
      <alignment horizontal="center"/>
    </xf>
    <xf numFmtId="0" fontId="80" fillId="0" borderId="1" xfId="13" applyNumberFormat="1" applyFont="1" applyFill="1" applyBorder="1" applyAlignment="1" applyProtection="1">
      <alignment horizontal="center"/>
    </xf>
    <xf numFmtId="0" fontId="43" fillId="0" borderId="1" xfId="13" applyNumberFormat="1" applyFont="1" applyFill="1" applyBorder="1" applyAlignment="1" applyProtection="1">
      <alignment horizontal="left" wrapText="1"/>
    </xf>
    <xf numFmtId="164" fontId="60" fillId="0" borderId="1" xfId="9" applyNumberFormat="1" applyFont="1" applyFill="1" applyBorder="1" applyAlignment="1">
      <alignment shrinkToFit="1"/>
    </xf>
    <xf numFmtId="164" fontId="59" fillId="0" borderId="1" xfId="9" applyNumberFormat="1" applyFont="1" applyFill="1" applyBorder="1" applyAlignment="1" applyProtection="1">
      <alignment shrinkToFit="1"/>
    </xf>
    <xf numFmtId="0" fontId="7" fillId="0" borderId="1" xfId="13" applyFont="1" applyFill="1" applyBorder="1" applyAlignment="1">
      <alignment horizontal="right" vertical="center"/>
    </xf>
    <xf numFmtId="0" fontId="43" fillId="0" borderId="1" xfId="0" applyNumberFormat="1" applyFont="1" applyFill="1" applyBorder="1" applyAlignment="1" applyProtection="1">
      <alignment horizontal="left" wrapText="1"/>
    </xf>
    <xf numFmtId="0" fontId="7" fillId="0" borderId="0" xfId="13" applyFill="1" applyBorder="1" applyAlignment="1">
      <alignment vertical="center"/>
    </xf>
    <xf numFmtId="0" fontId="2" fillId="0" borderId="0" xfId="103" applyFill="1"/>
    <xf numFmtId="0" fontId="43" fillId="0" borderId="1" xfId="103" applyNumberFormat="1" applyFont="1" applyFill="1" applyBorder="1" applyAlignment="1" applyProtection="1">
      <alignment horizontal="left" wrapText="1"/>
    </xf>
    <xf numFmtId="169" fontId="60" fillId="0" borderId="1" xfId="9" applyNumberFormat="1" applyFont="1" applyFill="1" applyBorder="1" applyAlignment="1" applyProtection="1">
      <alignment shrinkToFit="1"/>
      <protection locked="0"/>
    </xf>
    <xf numFmtId="169" fontId="60" fillId="0" borderId="1" xfId="9" applyNumberFormat="1" applyFont="1" applyFill="1" applyBorder="1" applyAlignment="1">
      <alignment horizontal="center" shrinkToFit="1"/>
    </xf>
    <xf numFmtId="169" fontId="59" fillId="0" borderId="1" xfId="9" applyNumberFormat="1" applyFont="1" applyFill="1" applyBorder="1" applyAlignment="1" applyProtection="1">
      <alignment shrinkToFit="1"/>
      <protection locked="0"/>
    </xf>
    <xf numFmtId="0" fontId="59" fillId="0" borderId="0" xfId="10" applyNumberFormat="1" applyFont="1" applyFill="1" applyBorder="1" applyAlignment="1">
      <alignment horizontal="center" vertical="center" shrinkToFit="1"/>
    </xf>
    <xf numFmtId="169" fontId="59" fillId="0" borderId="0" xfId="9" applyNumberFormat="1" applyFont="1" applyFill="1" applyBorder="1" applyAlignment="1" applyProtection="1">
      <alignment shrinkToFit="1"/>
      <protection locked="0"/>
    </xf>
    <xf numFmtId="169" fontId="60" fillId="0" borderId="0" xfId="9" applyNumberFormat="1" applyFont="1" applyFill="1" applyBorder="1" applyAlignment="1" applyProtection="1">
      <alignment shrinkToFit="1"/>
      <protection locked="0"/>
    </xf>
    <xf numFmtId="169" fontId="2" fillId="0" borderId="0" xfId="103" applyNumberFormat="1" applyFill="1" applyBorder="1"/>
    <xf numFmtId="1" fontId="59" fillId="0" borderId="1" xfId="9" applyNumberFormat="1" applyFont="1" applyFill="1" applyBorder="1" applyAlignment="1">
      <alignment horizontal="center" vertical="center" wrapText="1"/>
    </xf>
    <xf numFmtId="169" fontId="60" fillId="0" borderId="1" xfId="103" applyNumberFormat="1" applyFont="1" applyFill="1" applyBorder="1"/>
    <xf numFmtId="0" fontId="71" fillId="0" borderId="0" xfId="13" applyFont="1" applyFill="1" applyBorder="1" applyAlignment="1">
      <alignment vertical="center"/>
    </xf>
    <xf numFmtId="0" fontId="63" fillId="0" borderId="0" xfId="13" applyFont="1" applyFill="1" applyAlignment="1">
      <alignment vertical="center" wrapText="1"/>
    </xf>
    <xf numFmtId="0" fontId="7" fillId="0" borderId="1" xfId="13" applyFont="1" applyFill="1" applyBorder="1" applyAlignment="1">
      <alignment horizontal="center" vertical="center"/>
    </xf>
    <xf numFmtId="0" fontId="7" fillId="0" borderId="29" xfId="13" applyFont="1" applyFill="1" applyBorder="1" applyAlignment="1">
      <alignment horizontal="center" vertical="center"/>
    </xf>
    <xf numFmtId="0" fontId="63" fillId="0" borderId="0" xfId="13" applyFont="1" applyFill="1" applyAlignment="1">
      <alignment horizontal="center" vertical="center" wrapText="1"/>
    </xf>
    <xf numFmtId="3" fontId="7" fillId="0" borderId="1" xfId="13" applyNumberFormat="1" applyFill="1" applyBorder="1" applyAlignment="1">
      <alignment vertical="center"/>
    </xf>
    <xf numFmtId="0" fontId="62" fillId="0" borderId="0" xfId="13" applyFont="1" applyFill="1" applyAlignment="1">
      <alignment horizontal="center" vertical="center" wrapText="1"/>
    </xf>
    <xf numFmtId="0" fontId="64" fillId="0" borderId="0" xfId="13" applyFont="1" applyFill="1" applyAlignment="1">
      <alignment vertical="center" wrapText="1"/>
    </xf>
    <xf numFmtId="0" fontId="74" fillId="0" borderId="0" xfId="13" applyFont="1" applyFill="1" applyBorder="1" applyAlignment="1">
      <alignment horizontal="left" vertical="center"/>
    </xf>
    <xf numFmtId="0" fontId="7" fillId="0" borderId="0" xfId="13" applyFill="1" applyBorder="1" applyAlignment="1">
      <alignment horizontal="center" vertical="center"/>
    </xf>
    <xf numFmtId="0" fontId="75" fillId="0" borderId="0" xfId="13" applyFont="1" applyFill="1" applyBorder="1" applyAlignment="1">
      <alignment vertical="center"/>
    </xf>
    <xf numFmtId="2" fontId="75" fillId="0" borderId="0" xfId="13" applyNumberFormat="1" applyFont="1" applyFill="1" applyBorder="1" applyAlignment="1">
      <alignment vertical="center"/>
    </xf>
    <xf numFmtId="0" fontId="42" fillId="0" borderId="0" xfId="13" applyFont="1" applyFill="1" applyBorder="1" applyAlignment="1">
      <alignment horizontal="right" vertical="center"/>
    </xf>
    <xf numFmtId="0" fontId="71" fillId="0" borderId="15" xfId="13" applyFont="1" applyFill="1" applyBorder="1" applyAlignment="1">
      <alignment horizontal="center" vertical="center" wrapText="1"/>
    </xf>
    <xf numFmtId="0" fontId="75" fillId="0" borderId="15" xfId="13" applyFont="1" applyFill="1" applyBorder="1" applyAlignment="1">
      <alignment horizontal="center" vertical="center" wrapText="1"/>
    </xf>
    <xf numFmtId="0" fontId="77" fillId="0" borderId="24" xfId="13" applyFont="1" applyFill="1" applyBorder="1" applyAlignment="1">
      <alignment horizontal="center" vertical="center"/>
    </xf>
    <xf numFmtId="0" fontId="77" fillId="0" borderId="1" xfId="13" applyFont="1" applyFill="1" applyBorder="1" applyAlignment="1">
      <alignment horizontal="center" vertical="center"/>
    </xf>
    <xf numFmtId="0" fontId="77" fillId="0" borderId="16" xfId="13" applyFont="1" applyFill="1" applyBorder="1" applyAlignment="1">
      <alignment vertical="center"/>
    </xf>
    <xf numFmtId="0" fontId="77" fillId="0" borderId="25" xfId="13" applyFont="1" applyFill="1" applyBorder="1" applyAlignment="1">
      <alignment vertical="center"/>
    </xf>
    <xf numFmtId="0" fontId="75" fillId="0" borderId="24" xfId="13" applyFont="1" applyFill="1" applyBorder="1" applyAlignment="1">
      <alignment horizontal="center" vertical="center" wrapText="1"/>
    </xf>
    <xf numFmtId="0" fontId="75" fillId="0" borderId="1" xfId="13" applyFont="1" applyFill="1" applyBorder="1" applyAlignment="1">
      <alignment horizontal="center" vertical="center" wrapText="1"/>
    </xf>
    <xf numFmtId="0" fontId="7" fillId="0" borderId="1" xfId="13" applyFont="1" applyFill="1" applyBorder="1" applyAlignment="1">
      <alignment horizontal="center" vertical="center" wrapText="1"/>
    </xf>
    <xf numFmtId="0" fontId="7" fillId="0" borderId="1" xfId="13" applyFill="1" applyBorder="1" applyAlignment="1">
      <alignment vertical="center"/>
    </xf>
    <xf numFmtId="0" fontId="95" fillId="0" borderId="1" xfId="13" applyFont="1" applyFill="1" applyBorder="1" applyAlignment="1">
      <alignment vertical="center"/>
    </xf>
    <xf numFmtId="0" fontId="79" fillId="0" borderId="1" xfId="13" applyFont="1" applyFill="1" applyBorder="1" applyAlignment="1">
      <alignment horizontal="center" vertical="center" wrapText="1"/>
    </xf>
    <xf numFmtId="3" fontId="79" fillId="0" borderId="15" xfId="13" applyNumberFormat="1" applyFont="1" applyFill="1" applyBorder="1" applyAlignment="1">
      <alignment horizontal="center" vertical="center" wrapText="1"/>
    </xf>
    <xf numFmtId="3" fontId="79" fillId="0" borderId="30" xfId="13" applyNumberFormat="1" applyFont="1" applyFill="1" applyBorder="1" applyAlignment="1">
      <alignment horizontal="center" vertical="center" wrapText="1"/>
    </xf>
    <xf numFmtId="3" fontId="79" fillId="0" borderId="29" xfId="13" applyNumberFormat="1" applyFont="1" applyFill="1" applyBorder="1" applyAlignment="1">
      <alignment horizontal="center" vertical="center" wrapText="1"/>
    </xf>
    <xf numFmtId="3" fontId="79" fillId="0" borderId="16" xfId="13" applyNumberFormat="1" applyFont="1" applyFill="1" applyBorder="1" applyAlignment="1">
      <alignment horizontal="center" vertical="center" wrapText="1"/>
    </xf>
    <xf numFmtId="0" fontId="79" fillId="0" borderId="1" xfId="13" applyFont="1" applyFill="1" applyBorder="1" applyAlignment="1">
      <alignment horizontal="center" vertical="center"/>
    </xf>
    <xf numFmtId="0" fontId="79" fillId="0" borderId="1" xfId="13" applyFont="1" applyFill="1" applyBorder="1" applyAlignment="1">
      <alignment vertical="center"/>
    </xf>
    <xf numFmtId="0" fontId="96" fillId="0" borderId="1" xfId="13" applyFont="1" applyFill="1" applyBorder="1" applyAlignment="1">
      <alignment vertical="center"/>
    </xf>
    <xf numFmtId="0" fontId="79" fillId="0" borderId="0" xfId="13" applyFont="1" applyFill="1" applyBorder="1" applyAlignment="1">
      <alignment vertical="center"/>
    </xf>
    <xf numFmtId="3" fontId="43" fillId="0" borderId="1" xfId="9" applyNumberFormat="1" applyFont="1" applyFill="1" applyBorder="1" applyProtection="1"/>
    <xf numFmtId="3" fontId="75" fillId="0" borderId="1" xfId="0" applyNumberFormat="1" applyFont="1" applyFill="1" applyBorder="1" applyAlignment="1">
      <alignment vertical="center"/>
    </xf>
    <xf numFmtId="3" fontId="7" fillId="0" borderId="1" xfId="13" applyNumberFormat="1" applyFont="1" applyFill="1" applyBorder="1" applyAlignment="1">
      <alignment vertical="center"/>
    </xf>
    <xf numFmtId="3" fontId="7" fillId="0" borderId="29" xfId="13" applyNumberFormat="1" applyFont="1" applyFill="1" applyBorder="1" applyAlignment="1">
      <alignment vertical="center"/>
    </xf>
    <xf numFmtId="3" fontId="75" fillId="0" borderId="1" xfId="13" applyNumberFormat="1" applyFont="1" applyFill="1" applyBorder="1" applyAlignment="1">
      <alignment vertical="center"/>
    </xf>
    <xf numFmtId="3" fontId="75" fillId="0" borderId="29" xfId="13" applyNumberFormat="1" applyFont="1" applyFill="1" applyBorder="1" applyAlignment="1">
      <alignment vertical="center"/>
    </xf>
    <xf numFmtId="3" fontId="7" fillId="0" borderId="17" xfId="13" applyNumberFormat="1" applyFont="1" applyFill="1" applyBorder="1" applyAlignment="1">
      <alignment vertical="center"/>
    </xf>
    <xf numFmtId="164" fontId="7" fillId="0" borderId="1" xfId="13" applyNumberFormat="1" applyFont="1" applyFill="1" applyBorder="1" applyAlignment="1">
      <alignment vertical="center"/>
    </xf>
    <xf numFmtId="173" fontId="7" fillId="0" borderId="1" xfId="13" applyNumberFormat="1" applyFont="1" applyFill="1" applyBorder="1" applyAlignment="1">
      <alignment vertical="center"/>
    </xf>
    <xf numFmtId="0" fontId="7" fillId="0" borderId="1" xfId="13" applyFont="1" applyFill="1" applyBorder="1" applyAlignment="1">
      <alignment vertical="center"/>
    </xf>
    <xf numFmtId="0" fontId="7" fillId="0" borderId="0" xfId="13" applyFont="1" applyFill="1" applyBorder="1" applyAlignment="1">
      <alignment vertical="center"/>
    </xf>
    <xf numFmtId="3" fontId="75" fillId="0" borderId="15" xfId="13" applyNumberFormat="1" applyFont="1" applyFill="1" applyBorder="1" applyAlignment="1">
      <alignment vertical="center"/>
    </xf>
    <xf numFmtId="3" fontId="75" fillId="0" borderId="24" xfId="13" applyNumberFormat="1" applyFont="1" applyFill="1" applyBorder="1" applyAlignment="1">
      <alignment vertical="center"/>
    </xf>
    <xf numFmtId="3" fontId="7" fillId="0" borderId="29" xfId="13" applyNumberFormat="1" applyFill="1" applyBorder="1" applyAlignment="1">
      <alignment vertical="center"/>
    </xf>
    <xf numFmtId="3" fontId="7" fillId="0" borderId="17" xfId="13" applyNumberFormat="1" applyFill="1" applyBorder="1" applyAlignment="1">
      <alignment vertical="center"/>
    </xf>
    <xf numFmtId="170" fontId="7" fillId="0" borderId="0" xfId="13" applyNumberFormat="1" applyFill="1" applyBorder="1" applyAlignment="1">
      <alignment vertical="center"/>
    </xf>
    <xf numFmtId="3" fontId="75" fillId="0" borderId="31" xfId="13" applyNumberFormat="1" applyFont="1" applyFill="1" applyBorder="1" applyAlignment="1">
      <alignment vertical="center"/>
    </xf>
    <xf numFmtId="3" fontId="75" fillId="0" borderId="32" xfId="13" applyNumberFormat="1" applyFont="1" applyFill="1" applyBorder="1" applyAlignment="1">
      <alignment vertical="center"/>
    </xf>
    <xf numFmtId="3" fontId="7" fillId="0" borderId="32" xfId="13" applyNumberFormat="1" applyFill="1" applyBorder="1" applyAlignment="1">
      <alignment vertical="center"/>
    </xf>
    <xf numFmtId="3" fontId="7" fillId="0" borderId="33" xfId="13" applyNumberFormat="1" applyFill="1" applyBorder="1" applyAlignment="1">
      <alignment vertical="center"/>
    </xf>
    <xf numFmtId="3" fontId="75" fillId="0" borderId="33" xfId="13" applyNumberFormat="1" applyFont="1" applyFill="1" applyBorder="1" applyAlignment="1">
      <alignment vertical="center"/>
    </xf>
    <xf numFmtId="0" fontId="72" fillId="0" borderId="0" xfId="13" applyFont="1" applyFill="1" applyBorder="1" applyAlignment="1">
      <alignment horizontal="left" vertical="center"/>
    </xf>
    <xf numFmtId="3" fontId="7" fillId="0" borderId="0" xfId="13" applyNumberFormat="1" applyFill="1" applyBorder="1" applyAlignment="1">
      <alignment vertical="center"/>
    </xf>
    <xf numFmtId="3" fontId="75" fillId="0" borderId="0" xfId="13" applyNumberFormat="1" applyFont="1" applyFill="1" applyBorder="1" applyAlignment="1">
      <alignment vertical="center"/>
    </xf>
    <xf numFmtId="0" fontId="81" fillId="0" borderId="0" xfId="13" applyFont="1" applyFill="1" applyBorder="1" applyAlignment="1">
      <alignment horizontal="left" vertical="center"/>
    </xf>
    <xf numFmtId="171" fontId="75" fillId="0" borderId="0" xfId="13" applyNumberFormat="1" applyFont="1" applyFill="1" applyBorder="1" applyAlignment="1">
      <alignment vertical="center"/>
    </xf>
    <xf numFmtId="172" fontId="75" fillId="0" borderId="0" xfId="13" applyNumberFormat="1" applyFont="1" applyFill="1" applyBorder="1" applyAlignment="1">
      <alignment vertical="center"/>
    </xf>
    <xf numFmtId="4" fontId="75" fillId="0" borderId="0" xfId="13" applyNumberFormat="1" applyFont="1" applyFill="1" applyBorder="1" applyAlignment="1">
      <alignment vertical="center"/>
    </xf>
    <xf numFmtId="0" fontId="82" fillId="0" borderId="0" xfId="13" applyFont="1" applyFill="1" applyBorder="1" applyAlignment="1">
      <alignment horizontal="left" vertical="center"/>
    </xf>
    <xf numFmtId="0" fontId="59" fillId="0" borderId="0" xfId="0" applyFont="1" applyFill="1"/>
    <xf numFmtId="0" fontId="60" fillId="0" borderId="0" xfId="0" applyFont="1" applyFill="1" applyAlignment="1">
      <alignment horizontal="right"/>
    </xf>
    <xf numFmtId="0" fontId="59" fillId="0" borderId="1" xfId="0" applyFont="1" applyFill="1" applyBorder="1"/>
    <xf numFmtId="164" fontId="60" fillId="0" borderId="15" xfId="9" applyNumberFormat="1" applyFont="1" applyFill="1" applyBorder="1" applyAlignment="1">
      <alignment horizontal="center" shrinkToFit="1"/>
    </xf>
    <xf numFmtId="0" fontId="59" fillId="0" borderId="1" xfId="0" applyFont="1" applyFill="1" applyBorder="1" applyAlignment="1">
      <alignment horizontal="center" wrapText="1"/>
    </xf>
    <xf numFmtId="3" fontId="59" fillId="0" borderId="1" xfId="9" applyNumberFormat="1" applyFont="1" applyFill="1" applyBorder="1" applyAlignment="1" applyProtection="1">
      <alignment shrinkToFit="1"/>
      <protection locked="0"/>
    </xf>
    <xf numFmtId="174" fontId="59" fillId="0" borderId="1" xfId="9" applyNumberFormat="1" applyFont="1" applyFill="1" applyBorder="1" applyAlignment="1" applyProtection="1">
      <alignment shrinkToFit="1"/>
      <protection locked="0"/>
    </xf>
    <xf numFmtId="176" fontId="59" fillId="0" borderId="15" xfId="9" applyNumberFormat="1" applyFont="1" applyFill="1" applyBorder="1" applyAlignment="1" applyProtection="1">
      <alignment shrinkToFit="1"/>
      <protection locked="0"/>
    </xf>
    <xf numFmtId="4" fontId="60" fillId="0" borderId="1" xfId="0" applyNumberFormat="1" applyFont="1" applyFill="1" applyBorder="1"/>
    <xf numFmtId="169" fontId="59" fillId="0" borderId="0" xfId="0" applyNumberFormat="1" applyFont="1" applyFill="1"/>
    <xf numFmtId="0" fontId="59" fillId="0" borderId="1" xfId="9" applyNumberFormat="1" applyFont="1" applyFill="1" applyBorder="1" applyAlignment="1" applyProtection="1">
      <alignment horizontal="left" shrinkToFit="1"/>
      <protection locked="0"/>
    </xf>
    <xf numFmtId="3" fontId="59" fillId="0" borderId="15" xfId="9" applyNumberFormat="1" applyFont="1" applyFill="1" applyBorder="1" applyAlignment="1" applyProtection="1">
      <alignment shrinkToFit="1"/>
      <protection locked="0"/>
    </xf>
    <xf numFmtId="0" fontId="60" fillId="0" borderId="1" xfId="0" applyFont="1" applyFill="1" applyBorder="1"/>
    <xf numFmtId="0" fontId="59" fillId="0" borderId="0" xfId="9" applyNumberFormat="1" applyFont="1" applyFill="1" applyBorder="1" applyAlignment="1" applyProtection="1">
      <alignment horizontal="left" shrinkToFit="1"/>
      <protection locked="0"/>
    </xf>
    <xf numFmtId="3" fontId="59" fillId="0" borderId="0" xfId="9" applyNumberFormat="1" applyFont="1" applyFill="1" applyBorder="1" applyAlignment="1" applyProtection="1">
      <alignment shrinkToFit="1"/>
      <protection locked="0"/>
    </xf>
    <xf numFmtId="2" fontId="43" fillId="0" borderId="1" xfId="0" applyNumberFormat="1" applyFont="1" applyFill="1" applyBorder="1" applyAlignment="1">
      <alignment vertical="distributed" wrapText="1"/>
    </xf>
    <xf numFmtId="3" fontId="44" fillId="0" borderId="1" xfId="0" applyNumberFormat="1" applyFont="1" applyFill="1" applyBorder="1"/>
    <xf numFmtId="164" fontId="60" fillId="0" borderId="1" xfId="0" applyNumberFormat="1" applyFont="1" applyFill="1" applyBorder="1"/>
    <xf numFmtId="0" fontId="43" fillId="0" borderId="1" xfId="0" applyFont="1" applyFill="1" applyBorder="1" applyAlignment="1">
      <alignment vertical="center" wrapText="1"/>
    </xf>
    <xf numFmtId="3" fontId="43" fillId="0" borderId="1" xfId="0" applyNumberFormat="1" applyFont="1" applyFill="1" applyBorder="1"/>
    <xf numFmtId="0" fontId="59" fillId="0" borderId="0" xfId="0" applyFont="1" applyFill="1" applyBorder="1"/>
    <xf numFmtId="3" fontId="85" fillId="0" borderId="0" xfId="0" applyNumberFormat="1" applyFont="1" applyFill="1" applyBorder="1"/>
    <xf numFmtId="0" fontId="43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" fontId="59" fillId="0" borderId="0" xfId="0" applyNumberFormat="1" applyFont="1" applyFill="1" applyBorder="1"/>
    <xf numFmtId="49" fontId="43" fillId="0" borderId="1" xfId="0" applyNumberFormat="1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 wrapText="1"/>
    </xf>
    <xf numFmtId="169" fontId="55" fillId="0" borderId="1" xfId="0" applyNumberFormat="1" applyFont="1" applyFill="1" applyBorder="1" applyAlignment="1">
      <alignment horizontal="right" vertical="center"/>
    </xf>
    <xf numFmtId="3" fontId="55" fillId="0" borderId="1" xfId="0" applyNumberFormat="1" applyFont="1" applyFill="1" applyBorder="1" applyAlignment="1">
      <alignment horizontal="right" vertical="center"/>
    </xf>
    <xf numFmtId="49" fontId="88" fillId="0" borderId="1" xfId="0" applyNumberFormat="1" applyFont="1" applyFill="1" applyBorder="1" applyAlignment="1">
      <alignment horizontal="center" vertical="center" wrapText="1"/>
    </xf>
    <xf numFmtId="49" fontId="89" fillId="0" borderId="1" xfId="0" applyNumberFormat="1" applyFont="1" applyFill="1" applyBorder="1" applyAlignment="1">
      <alignment horizontal="left" vertical="center" wrapText="1"/>
    </xf>
    <xf numFmtId="0" fontId="87" fillId="0" borderId="1" xfId="0" applyFont="1" applyFill="1" applyBorder="1" applyAlignment="1">
      <alignment horizontal="center" vertical="center"/>
    </xf>
    <xf numFmtId="3" fontId="87" fillId="0" borderId="1" xfId="0" applyNumberFormat="1" applyFont="1" applyFill="1" applyBorder="1" applyAlignment="1">
      <alignment horizontal="right" vertical="center"/>
    </xf>
    <xf numFmtId="0" fontId="90" fillId="0" borderId="1" xfId="0" applyFont="1" applyFill="1" applyBorder="1"/>
    <xf numFmtId="3" fontId="90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164" fontId="44" fillId="0" borderId="12" xfId="9" applyNumberFormat="1" applyFont="1" applyFill="1" applyBorder="1" applyAlignment="1" applyProtection="1">
      <alignment horizontal="center"/>
      <protection locked="0"/>
    </xf>
    <xf numFmtId="3" fontId="59" fillId="0" borderId="1" xfId="9" applyNumberFormat="1" applyFont="1" applyFill="1" applyBorder="1" applyProtection="1"/>
    <xf numFmtId="173" fontId="60" fillId="0" borderId="1" xfId="9" applyNumberFormat="1" applyFont="1" applyFill="1" applyBorder="1" applyAlignment="1">
      <alignment horizontal="right" shrinkToFit="1"/>
    </xf>
    <xf numFmtId="2" fontId="60" fillId="0" borderId="1" xfId="9" applyNumberFormat="1" applyFont="1" applyFill="1" applyBorder="1" applyAlignment="1">
      <alignment horizontal="right" shrinkToFit="1"/>
    </xf>
    <xf numFmtId="0" fontId="64" fillId="0" borderId="0" xfId="13" applyFont="1" applyFill="1" applyAlignment="1">
      <alignment horizontal="center" vertical="center" wrapText="1"/>
    </xf>
    <xf numFmtId="0" fontId="63" fillId="0" borderId="0" xfId="13" applyFont="1" applyFill="1" applyAlignment="1">
      <alignment horizontal="center" vertical="center" wrapText="1"/>
    </xf>
    <xf numFmtId="0" fontId="7" fillId="0" borderId="13" xfId="13" applyNumberFormat="1" applyFill="1" applyBorder="1" applyAlignment="1">
      <alignment horizontal="center" vertical="center" wrapText="1"/>
    </xf>
    <xf numFmtId="0" fontId="7" fillId="0" borderId="14" xfId="13" applyNumberFormat="1" applyFill="1" applyBorder="1" applyAlignment="1">
      <alignment horizontal="center" vertical="center" wrapText="1"/>
    </xf>
    <xf numFmtId="0" fontId="95" fillId="0" borderId="13" xfId="13" applyNumberFormat="1" applyFont="1" applyFill="1" applyBorder="1" applyAlignment="1">
      <alignment horizontal="center" vertical="center" wrapText="1"/>
    </xf>
    <xf numFmtId="0" fontId="95" fillId="0" borderId="14" xfId="13" applyNumberFormat="1" applyFont="1" applyFill="1" applyBorder="1" applyAlignment="1">
      <alignment horizontal="center" vertical="center" wrapText="1"/>
    </xf>
    <xf numFmtId="0" fontId="72" fillId="0" borderId="1" xfId="13" applyFont="1" applyFill="1" applyBorder="1" applyAlignment="1">
      <alignment horizontal="left" vertical="center" wrapText="1"/>
    </xf>
    <xf numFmtId="0" fontId="74" fillId="0" borderId="1" xfId="13" applyFont="1" applyFill="1" applyBorder="1" applyAlignment="1">
      <alignment horizontal="center" vertical="center"/>
    </xf>
    <xf numFmtId="3" fontId="7" fillId="0" borderId="1" xfId="13" applyNumberFormat="1" applyFill="1" applyBorder="1" applyAlignment="1">
      <alignment horizontal="center" vertical="center"/>
    </xf>
    <xf numFmtId="0" fontId="62" fillId="0" borderId="0" xfId="13" applyFont="1" applyFill="1" applyBorder="1" applyAlignment="1">
      <alignment horizontal="center" vertical="center" wrapText="1"/>
    </xf>
    <xf numFmtId="0" fontId="62" fillId="0" borderId="34" xfId="13" applyFont="1" applyFill="1" applyBorder="1" applyAlignment="1">
      <alignment horizontal="center" vertical="center" wrapText="1"/>
    </xf>
    <xf numFmtId="0" fontId="62" fillId="0" borderId="26" xfId="13" applyFont="1" applyFill="1" applyBorder="1" applyAlignment="1">
      <alignment horizontal="center" vertical="center" wrapText="1"/>
    </xf>
    <xf numFmtId="0" fontId="62" fillId="0" borderId="27" xfId="13" applyFont="1" applyFill="1" applyBorder="1" applyAlignment="1">
      <alignment horizontal="center" vertical="center" wrapText="1"/>
    </xf>
    <xf numFmtId="3" fontId="75" fillId="0" borderId="1" xfId="13" applyNumberFormat="1" applyFont="1" applyFill="1" applyBorder="1" applyAlignment="1">
      <alignment horizontal="center" vertical="center"/>
    </xf>
    <xf numFmtId="0" fontId="76" fillId="0" borderId="1" xfId="13" applyFont="1" applyFill="1" applyBorder="1" applyAlignment="1">
      <alignment horizontal="center" vertical="center" wrapText="1"/>
    </xf>
    <xf numFmtId="0" fontId="77" fillId="0" borderId="19" xfId="13" applyFont="1" applyFill="1" applyBorder="1" applyAlignment="1">
      <alignment horizontal="center" vertical="center"/>
    </xf>
    <xf numFmtId="0" fontId="77" fillId="0" borderId="20" xfId="13" applyFont="1" applyFill="1" applyBorder="1" applyAlignment="1">
      <alignment horizontal="center" vertical="center"/>
    </xf>
    <xf numFmtId="0" fontId="77" fillId="0" borderId="21" xfId="13" applyFont="1" applyFill="1" applyBorder="1" applyAlignment="1">
      <alignment horizontal="center" vertical="center"/>
    </xf>
    <xf numFmtId="0" fontId="7" fillId="0" borderId="1" xfId="13" applyFill="1" applyBorder="1" applyAlignment="1">
      <alignment horizontal="center" vertical="center"/>
    </xf>
    <xf numFmtId="0" fontId="71" fillId="0" borderId="23" xfId="13" applyFont="1" applyFill="1" applyBorder="1" applyAlignment="1">
      <alignment horizontal="center" vertical="center" wrapText="1"/>
    </xf>
    <xf numFmtId="0" fontId="71" fillId="0" borderId="22" xfId="13" applyFont="1" applyFill="1" applyBorder="1" applyAlignment="1">
      <alignment horizontal="center" vertical="center" wrapText="1"/>
    </xf>
    <xf numFmtId="0" fontId="71" fillId="0" borderId="18" xfId="13" applyFont="1" applyFill="1" applyBorder="1" applyAlignment="1">
      <alignment horizontal="center" vertical="center" wrapText="1"/>
    </xf>
    <xf numFmtId="0" fontId="71" fillId="0" borderId="28" xfId="13" applyFont="1" applyFill="1" applyBorder="1" applyAlignment="1">
      <alignment horizontal="center" vertical="center" wrapText="1"/>
    </xf>
    <xf numFmtId="0" fontId="71" fillId="0" borderId="26" xfId="13" applyFont="1" applyFill="1" applyBorder="1" applyAlignment="1">
      <alignment horizontal="center" vertical="center" wrapText="1"/>
    </xf>
    <xf numFmtId="0" fontId="71" fillId="0" borderId="27" xfId="13" applyFont="1" applyFill="1" applyBorder="1" applyAlignment="1">
      <alignment horizontal="center" vertical="center" wrapText="1"/>
    </xf>
    <xf numFmtId="0" fontId="71" fillId="0" borderId="1" xfId="13" applyFont="1" applyFill="1" applyBorder="1" applyAlignment="1">
      <alignment horizontal="center" vertical="center" wrapText="1"/>
    </xf>
    <xf numFmtId="0" fontId="77" fillId="0" borderId="15" xfId="13" applyFont="1" applyFill="1" applyBorder="1" applyAlignment="1">
      <alignment horizontal="center" vertical="center"/>
    </xf>
    <xf numFmtId="0" fontId="77" fillId="0" borderId="16" xfId="13" applyFont="1" applyFill="1" applyBorder="1" applyAlignment="1">
      <alignment horizontal="center" vertical="center"/>
    </xf>
    <xf numFmtId="0" fontId="77" fillId="0" borderId="25" xfId="13" applyFont="1" applyFill="1" applyBorder="1" applyAlignment="1">
      <alignment horizontal="center" vertical="center"/>
    </xf>
    <xf numFmtId="0" fontId="77" fillId="0" borderId="30" xfId="13" applyFont="1" applyFill="1" applyBorder="1" applyAlignment="1">
      <alignment horizontal="center" vertical="center"/>
    </xf>
    <xf numFmtId="0" fontId="63" fillId="0" borderId="0" xfId="9" applyFont="1" applyFill="1" applyAlignment="1">
      <alignment horizontal="center"/>
    </xf>
    <xf numFmtId="49" fontId="60" fillId="0" borderId="1" xfId="9" applyNumberFormat="1" applyFont="1" applyFill="1" applyBorder="1" applyAlignment="1">
      <alignment horizontal="center" vertical="center" wrapText="1"/>
    </xf>
    <xf numFmtId="1" fontId="59" fillId="0" borderId="13" xfId="9" applyNumberFormat="1" applyFont="1" applyFill="1" applyBorder="1" applyAlignment="1">
      <alignment horizontal="center" vertical="center" wrapText="1"/>
    </xf>
    <xf numFmtId="1" fontId="59" fillId="0" borderId="14" xfId="9" applyNumberFormat="1" applyFont="1" applyFill="1" applyBorder="1" applyAlignment="1">
      <alignment horizontal="center" vertical="center" wrapText="1"/>
    </xf>
    <xf numFmtId="0" fontId="59" fillId="0" borderId="15" xfId="9" applyFont="1" applyFill="1" applyBorder="1" applyAlignment="1">
      <alignment horizontal="center" vertical="center" wrapText="1"/>
    </xf>
    <xf numFmtId="0" fontId="59" fillId="0" borderId="16" xfId="9" applyFont="1" applyFill="1" applyBorder="1" applyAlignment="1">
      <alignment horizontal="center" vertical="center" wrapText="1"/>
    </xf>
    <xf numFmtId="0" fontId="59" fillId="0" borderId="17" xfId="9" applyFont="1" applyFill="1" applyBorder="1" applyAlignment="1">
      <alignment horizontal="center" vertical="center" wrapText="1"/>
    </xf>
    <xf numFmtId="49" fontId="59" fillId="0" borderId="15" xfId="9" applyNumberFormat="1" applyFont="1" applyFill="1" applyBorder="1" applyAlignment="1">
      <alignment horizontal="center" vertical="center" wrapText="1"/>
    </xf>
    <xf numFmtId="49" fontId="59" fillId="0" borderId="16" xfId="9" applyNumberFormat="1" applyFont="1" applyFill="1" applyBorder="1" applyAlignment="1">
      <alignment horizontal="center" vertical="center" wrapText="1"/>
    </xf>
    <xf numFmtId="49" fontId="59" fillId="0" borderId="17" xfId="9" applyNumberFormat="1" applyFont="1" applyFill="1" applyBorder="1" applyAlignment="1">
      <alignment horizontal="center" vertical="center" wrapText="1"/>
    </xf>
    <xf numFmtId="0" fontId="42" fillId="0" borderId="0" xfId="9" applyFont="1" applyFill="1" applyBorder="1" applyAlignment="1">
      <alignment horizontal="center" wrapText="1"/>
    </xf>
    <xf numFmtId="0" fontId="48" fillId="0" borderId="0" xfId="9" applyFont="1" applyFill="1" applyAlignment="1">
      <alignment horizontal="center"/>
    </xf>
    <xf numFmtId="0" fontId="47" fillId="2" borderId="0" xfId="9" applyFont="1" applyFill="1" applyBorder="1" applyAlignment="1">
      <alignment horizontal="center"/>
    </xf>
    <xf numFmtId="0" fontId="59" fillId="0" borderId="1" xfId="9" applyFont="1" applyFill="1" applyBorder="1" applyAlignment="1">
      <alignment horizontal="center" vertical="center" wrapText="1"/>
    </xf>
    <xf numFmtId="49" fontId="60" fillId="25" borderId="13" xfId="9" applyNumberFormat="1" applyFont="1" applyFill="1" applyBorder="1" applyAlignment="1">
      <alignment horizontal="center" vertical="center" wrapText="1"/>
    </xf>
    <xf numFmtId="49" fontId="60" fillId="25" borderId="14" xfId="9" applyNumberFormat="1" applyFont="1" applyFill="1" applyBorder="1" applyAlignment="1">
      <alignment horizontal="center" vertical="center" wrapText="1"/>
    </xf>
    <xf numFmtId="2" fontId="93" fillId="0" borderId="0" xfId="103" applyNumberFormat="1" applyFont="1" applyFill="1" applyAlignment="1">
      <alignment horizontal="center" vertical="center" wrapText="1"/>
    </xf>
    <xf numFmtId="0" fontId="92" fillId="0" borderId="26" xfId="103" applyFont="1" applyFill="1" applyBorder="1" applyAlignment="1">
      <alignment horizontal="center"/>
    </xf>
    <xf numFmtId="1" fontId="59" fillId="0" borderId="1" xfId="9" applyNumberFormat="1" applyFont="1" applyFill="1" applyBorder="1" applyAlignment="1">
      <alignment horizontal="center" vertical="center" wrapText="1"/>
    </xf>
    <xf numFmtId="1" fontId="59" fillId="0" borderId="15" xfId="9" applyNumberFormat="1" applyFont="1" applyFill="1" applyBorder="1" applyAlignment="1">
      <alignment horizontal="center" vertical="center" wrapText="1"/>
    </xf>
    <xf numFmtId="1" fontId="59" fillId="0" borderId="16" xfId="9" applyNumberFormat="1" applyFont="1" applyFill="1" applyBorder="1" applyAlignment="1">
      <alignment horizontal="center" vertical="center" wrapText="1"/>
    </xf>
    <xf numFmtId="1" fontId="59" fillId="0" borderId="17" xfId="9" applyNumberFormat="1" applyFont="1" applyFill="1" applyBorder="1" applyAlignment="1">
      <alignment horizontal="center" vertical="center" wrapText="1"/>
    </xf>
    <xf numFmtId="1" fontId="59" fillId="0" borderId="23" xfId="9" applyNumberFormat="1" applyFont="1" applyFill="1" applyBorder="1" applyAlignment="1">
      <alignment horizontal="center" vertical="center" wrapText="1"/>
    </xf>
    <xf numFmtId="1" fontId="59" fillId="0" borderId="22" xfId="9" applyNumberFormat="1" applyFont="1" applyFill="1" applyBorder="1" applyAlignment="1">
      <alignment horizontal="center" vertical="center" wrapText="1"/>
    </xf>
    <xf numFmtId="1" fontId="59" fillId="0" borderId="18" xfId="9" applyNumberFormat="1" applyFont="1" applyFill="1" applyBorder="1" applyAlignment="1">
      <alignment horizontal="center" vertical="center" wrapText="1"/>
    </xf>
    <xf numFmtId="1" fontId="59" fillId="0" borderId="28" xfId="9" applyNumberFormat="1" applyFont="1" applyFill="1" applyBorder="1" applyAlignment="1">
      <alignment horizontal="center" vertical="center" wrapText="1"/>
    </xf>
    <xf numFmtId="1" fontId="59" fillId="0" borderId="26" xfId="9" applyNumberFormat="1" applyFont="1" applyFill="1" applyBorder="1" applyAlignment="1">
      <alignment horizontal="center" vertical="center" wrapText="1"/>
    </xf>
    <xf numFmtId="1" fontId="59" fillId="0" borderId="27" xfId="9" applyNumberFormat="1" applyFont="1" applyFill="1" applyBorder="1" applyAlignment="1">
      <alignment horizontal="center" vertical="center" wrapText="1"/>
    </xf>
    <xf numFmtId="1" fontId="59" fillId="0" borderId="35" xfId="9" applyNumberFormat="1" applyFont="1" applyFill="1" applyBorder="1" applyAlignment="1">
      <alignment horizontal="center" vertical="center" wrapText="1"/>
    </xf>
    <xf numFmtId="0" fontId="94" fillId="0" borderId="1" xfId="103" applyFont="1" applyFill="1" applyBorder="1" applyAlignment="1">
      <alignment horizontal="left"/>
    </xf>
    <xf numFmtId="1" fontId="60" fillId="0" borderId="1" xfId="9" applyNumberFormat="1" applyFont="1" applyFill="1" applyBorder="1" applyAlignment="1">
      <alignment horizontal="center" vertical="center" wrapText="1"/>
    </xf>
    <xf numFmtId="2" fontId="87" fillId="0" borderId="15" xfId="0" applyNumberFormat="1" applyFont="1" applyFill="1" applyBorder="1" applyAlignment="1">
      <alignment horizontal="center" vertical="center" wrapText="1"/>
    </xf>
    <xf numFmtId="2" fontId="87" fillId="0" borderId="16" xfId="0" applyNumberFormat="1" applyFont="1" applyFill="1" applyBorder="1" applyAlignment="1">
      <alignment horizontal="center" vertical="center" wrapText="1"/>
    </xf>
    <xf numFmtId="2" fontId="87" fillId="0" borderId="17" xfId="0" applyNumberFormat="1" applyFont="1" applyFill="1" applyBorder="1" applyAlignment="1">
      <alignment horizontal="center" vertical="center" wrapText="1"/>
    </xf>
    <xf numFmtId="2" fontId="55" fillId="0" borderId="1" xfId="0" applyNumberFormat="1" applyFont="1" applyFill="1" applyBorder="1" applyAlignment="1">
      <alignment horizontal="left" vertical="center" wrapText="1"/>
    </xf>
    <xf numFmtId="0" fontId="90" fillId="0" borderId="15" xfId="0" applyFont="1" applyFill="1" applyBorder="1" applyAlignment="1">
      <alignment horizontal="center" vertical="distributed" wrapText="1"/>
    </xf>
    <xf numFmtId="0" fontId="90" fillId="0" borderId="16" xfId="0" applyFont="1" applyFill="1" applyBorder="1" applyAlignment="1">
      <alignment horizontal="center" vertical="distributed" wrapText="1"/>
    </xf>
    <xf numFmtId="0" fontId="90" fillId="0" borderId="17" xfId="0" applyFont="1" applyFill="1" applyBorder="1" applyAlignment="1">
      <alignment horizontal="center" vertical="distributed" wrapText="1"/>
    </xf>
    <xf numFmtId="0" fontId="43" fillId="0" borderId="15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left" vertical="center" wrapText="1"/>
    </xf>
    <xf numFmtId="0" fontId="60" fillId="0" borderId="13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4" fillId="0" borderId="0" xfId="9" applyFont="1" applyFill="1" applyAlignment="1">
      <alignment horizontal="center" vertical="center" wrapText="1"/>
    </xf>
  </cellXfs>
  <cellStyles count="105"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40% - Акцент1 2" xfId="32"/>
    <cellStyle name="40% - Акцент2 2" xfId="33"/>
    <cellStyle name="40% - Акцент3 2" xfId="34"/>
    <cellStyle name="40% - Акцент4 2" xfId="35"/>
    <cellStyle name="40% - Акцент5 2" xfId="36"/>
    <cellStyle name="40% - Акцент6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Акцент1 2" xfId="44"/>
    <cellStyle name="60% - Акцент2 2" xfId="45"/>
    <cellStyle name="60% - Акцент3 2" xfId="46"/>
    <cellStyle name="60% - Акцент4 2" xfId="47"/>
    <cellStyle name="60% - Акцент5 2" xfId="48"/>
    <cellStyle name="60% - Акцент6 2" xfId="49"/>
    <cellStyle name="Accent1" xfId="50"/>
    <cellStyle name="Accent2" xfId="51"/>
    <cellStyle name="Accent3" xfId="52"/>
    <cellStyle name="Accent4" xfId="53"/>
    <cellStyle name="Accent5" xfId="54"/>
    <cellStyle name="Accent6" xfId="55"/>
    <cellStyle name="Bad" xfId="56"/>
    <cellStyle name="Calculation" xfId="57"/>
    <cellStyle name="Check Cell" xfId="58"/>
    <cellStyle name="Comma 2" xfId="1"/>
    <cellStyle name="Comma 2 2" xfId="59"/>
    <cellStyle name="Comma0" xfId="2"/>
    <cellStyle name="Currency0" xfId="3"/>
    <cellStyle name="Date" xfId="4"/>
    <cellStyle name="Explanatory Text" xfId="60"/>
    <cellStyle name="Fixed" xfId="5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Linked Cell" xfId="67"/>
    <cellStyle name="Neutral" xfId="68"/>
    <cellStyle name="Normal 2" xfId="6"/>
    <cellStyle name="Normal 2 2" xfId="69"/>
    <cellStyle name="Normal_Alexander's Tables" xfId="7"/>
    <cellStyle name="Normal_own-reg-rev" xfId="8"/>
    <cellStyle name="Normal_ФФПМР_ИБР_Ставрополь_2006 4" xfId="9"/>
    <cellStyle name="Note" xfId="70"/>
    <cellStyle name="Note 2" xfId="71"/>
    <cellStyle name="Output" xfId="72"/>
    <cellStyle name="Title" xfId="73"/>
    <cellStyle name="Total" xfId="74"/>
    <cellStyle name="Warning Text" xfId="75"/>
    <cellStyle name="Акцент1 2" xfId="76"/>
    <cellStyle name="Акцент2 2" xfId="77"/>
    <cellStyle name="Акцент3 2" xfId="78"/>
    <cellStyle name="Акцент4 2" xfId="79"/>
    <cellStyle name="Акцент5 2" xfId="80"/>
    <cellStyle name="Акцент6 2" xfId="81"/>
    <cellStyle name="Ввод  2" xfId="82"/>
    <cellStyle name="Вывод 2" xfId="83"/>
    <cellStyle name="Вычисление 2" xfId="84"/>
    <cellStyle name="Заголовок 1 2" xfId="85"/>
    <cellStyle name="Заголовок 2 2" xfId="86"/>
    <cellStyle name="Заголовок 3 2" xfId="87"/>
    <cellStyle name="Заголовок 4 2" xfId="88"/>
    <cellStyle name="Итог 2" xfId="89"/>
    <cellStyle name="Контрольная ячейка 2" xfId="90"/>
    <cellStyle name="Название 2" xfId="91"/>
    <cellStyle name="Нейтральный 2" xfId="92"/>
    <cellStyle name="Обычный" xfId="0" builtinId="0"/>
    <cellStyle name="Обычный 2" xfId="12"/>
    <cellStyle name="Обычный 3" xfId="13"/>
    <cellStyle name="Обычный 4" xfId="103"/>
    <cellStyle name="Обычный 8" xfId="104"/>
    <cellStyle name="Обычный_ИНП МР и П 2011 ( УСН 50% НДПИ 25%)" xfId="10"/>
    <cellStyle name="Плохой 2" xfId="93"/>
    <cellStyle name="Пояснение 2" xfId="94"/>
    <cellStyle name="Примечание 2" xfId="96"/>
    <cellStyle name="Примечание 3" xfId="95"/>
    <cellStyle name="Процентный" xfId="102" builtinId="5"/>
    <cellStyle name="Процентный 2" xfId="97"/>
    <cellStyle name="Связанная ячейка 2" xfId="98"/>
    <cellStyle name="Стиль 1" xfId="11"/>
    <cellStyle name="Текст предупреждения 2" xfId="99"/>
    <cellStyle name="Финансовый 2" xfId="100"/>
    <cellStyle name="Хороший 2" xfId="10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CC66"/>
      <color rgb="FFCCFFCC"/>
      <color rgb="FFDCFADF"/>
      <color rgb="FF00CC99"/>
      <color rgb="FF00CC00"/>
      <color rgb="FF00FF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211668</xdr:colOff>
      <xdr:row>11</xdr:row>
      <xdr:rowOff>52917</xdr:rowOff>
    </xdr:from>
    <xdr:ext cx="611962" cy="245003"/>
    <xdr:sp macro="" textlink="">
      <xdr:nvSpPr>
        <xdr:cNvPr id="2" name="TextBox 1"/>
        <xdr:cNvSpPr txBox="1"/>
      </xdr:nvSpPr>
      <xdr:spPr>
        <a:xfrm>
          <a:off x="7822143" y="4672542"/>
          <a:ext cx="611962" cy="2450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13</xdr:col>
      <xdr:colOff>232833</xdr:colOff>
      <xdr:row>11</xdr:row>
      <xdr:rowOff>63501</xdr:rowOff>
    </xdr:from>
    <xdr:ext cx="563039" cy="219419"/>
    <xdr:sp macro="" textlink="">
      <xdr:nvSpPr>
        <xdr:cNvPr id="3" name="TextBox 2"/>
        <xdr:cNvSpPr txBox="1"/>
      </xdr:nvSpPr>
      <xdr:spPr>
        <a:xfrm>
          <a:off x="12939183" y="4683126"/>
          <a:ext cx="563039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24</xdr:col>
      <xdr:colOff>178595</xdr:colOff>
      <xdr:row>11</xdr:row>
      <xdr:rowOff>74083</xdr:rowOff>
    </xdr:from>
    <xdr:ext cx="421141" cy="219419"/>
    <xdr:sp macro="" textlink="">
      <xdr:nvSpPr>
        <xdr:cNvPr id="4" name="TextBox 3"/>
        <xdr:cNvSpPr txBox="1"/>
      </xdr:nvSpPr>
      <xdr:spPr>
        <a:xfrm>
          <a:off x="22619495" y="4693708"/>
          <a:ext cx="421141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18</xdr:col>
      <xdr:colOff>148167</xdr:colOff>
      <xdr:row>11</xdr:row>
      <xdr:rowOff>84667</xdr:rowOff>
    </xdr:from>
    <xdr:ext cx="616451" cy="221792"/>
    <xdr:sp macro="" textlink="">
      <xdr:nvSpPr>
        <xdr:cNvPr id="5" name="TextBox 4"/>
        <xdr:cNvSpPr txBox="1"/>
      </xdr:nvSpPr>
      <xdr:spPr>
        <a:xfrm>
          <a:off x="17197917" y="4704292"/>
          <a:ext cx="616451" cy="2217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3</xdr:col>
      <xdr:colOff>201084</xdr:colOff>
      <xdr:row>11</xdr:row>
      <xdr:rowOff>42332</xdr:rowOff>
    </xdr:from>
    <xdr:ext cx="724622" cy="269433"/>
    <xdr:sp macro="" textlink="">
      <xdr:nvSpPr>
        <xdr:cNvPr id="6" name="TextBox 5"/>
        <xdr:cNvSpPr txBox="1"/>
      </xdr:nvSpPr>
      <xdr:spPr>
        <a:xfrm>
          <a:off x="3982509" y="4661957"/>
          <a:ext cx="724622" cy="2694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4</xdr:col>
      <xdr:colOff>158750</xdr:colOff>
      <xdr:row>11</xdr:row>
      <xdr:rowOff>63498</xdr:rowOff>
    </xdr:from>
    <xdr:ext cx="846665" cy="285751"/>
    <xdr:sp macro="" textlink="">
      <xdr:nvSpPr>
        <xdr:cNvPr id="7" name="TextBox 6"/>
        <xdr:cNvSpPr txBox="1"/>
      </xdr:nvSpPr>
      <xdr:spPr>
        <a:xfrm>
          <a:off x="4892675" y="4683123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5</xdr:col>
      <xdr:colOff>232833</xdr:colOff>
      <xdr:row>11</xdr:row>
      <xdr:rowOff>52916</xdr:rowOff>
    </xdr:from>
    <xdr:ext cx="510204" cy="260328"/>
    <xdr:sp macro="" textlink="">
      <xdr:nvSpPr>
        <xdr:cNvPr id="8" name="TextBox 7"/>
        <xdr:cNvSpPr txBox="1"/>
      </xdr:nvSpPr>
      <xdr:spPr>
        <a:xfrm>
          <a:off x="6052608" y="4672541"/>
          <a:ext cx="510204" cy="2603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7</xdr:col>
      <xdr:colOff>158751</xdr:colOff>
      <xdr:row>5</xdr:row>
      <xdr:rowOff>105832</xdr:rowOff>
    </xdr:from>
    <xdr:ext cx="592666" cy="214674"/>
    <xdr:sp macro="" textlink="">
      <xdr:nvSpPr>
        <xdr:cNvPr id="9" name="TextBox 8"/>
        <xdr:cNvSpPr txBox="1"/>
      </xdr:nvSpPr>
      <xdr:spPr>
        <a:xfrm>
          <a:off x="7769226" y="1791757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9</xdr:col>
      <xdr:colOff>116416</xdr:colOff>
      <xdr:row>11</xdr:row>
      <xdr:rowOff>63500</xdr:rowOff>
    </xdr:from>
    <xdr:ext cx="716735" cy="241413"/>
    <xdr:sp macro="" textlink="">
      <xdr:nvSpPr>
        <xdr:cNvPr id="10" name="TextBox 9"/>
        <xdr:cNvSpPr txBox="1"/>
      </xdr:nvSpPr>
      <xdr:spPr>
        <a:xfrm>
          <a:off x="9269941" y="4683125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10</xdr:col>
      <xdr:colOff>0</xdr:colOff>
      <xdr:row>11</xdr:row>
      <xdr:rowOff>63500</xdr:rowOff>
    </xdr:from>
    <xdr:ext cx="846665" cy="285751"/>
    <xdr:sp macro="" textlink="">
      <xdr:nvSpPr>
        <xdr:cNvPr id="11" name="TextBox 10"/>
        <xdr:cNvSpPr txBox="1"/>
      </xdr:nvSpPr>
      <xdr:spPr>
        <a:xfrm>
          <a:off x="10153650" y="4683125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11</xdr:col>
      <xdr:colOff>211667</xdr:colOff>
      <xdr:row>11</xdr:row>
      <xdr:rowOff>52917</xdr:rowOff>
    </xdr:from>
    <xdr:ext cx="446854" cy="232308"/>
    <xdr:sp macro="" textlink="">
      <xdr:nvSpPr>
        <xdr:cNvPr id="12" name="TextBox 11"/>
        <xdr:cNvSpPr txBox="1"/>
      </xdr:nvSpPr>
      <xdr:spPr>
        <a:xfrm>
          <a:off x="11251142" y="4672542"/>
          <a:ext cx="446854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13</xdr:col>
      <xdr:colOff>95250</xdr:colOff>
      <xdr:row>5</xdr:row>
      <xdr:rowOff>116416</xdr:rowOff>
    </xdr:from>
    <xdr:ext cx="592666" cy="212302"/>
    <xdr:sp macro="" textlink="">
      <xdr:nvSpPr>
        <xdr:cNvPr id="13" name="TextBox 12"/>
        <xdr:cNvSpPr txBox="1"/>
      </xdr:nvSpPr>
      <xdr:spPr>
        <a:xfrm>
          <a:off x="12347606" y="1468400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18</xdr:col>
      <xdr:colOff>95250</xdr:colOff>
      <xdr:row>5</xdr:row>
      <xdr:rowOff>116417</xdr:rowOff>
    </xdr:from>
    <xdr:ext cx="592666" cy="214674"/>
    <xdr:sp macro="" textlink="">
      <xdr:nvSpPr>
        <xdr:cNvPr id="14" name="TextBox 13"/>
        <xdr:cNvSpPr txBox="1"/>
      </xdr:nvSpPr>
      <xdr:spPr>
        <a:xfrm>
          <a:off x="17145000" y="1802342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24</xdr:col>
      <xdr:colOff>42333</xdr:colOff>
      <xdr:row>5</xdr:row>
      <xdr:rowOff>127000</xdr:rowOff>
    </xdr:from>
    <xdr:ext cx="592666" cy="212302"/>
    <xdr:sp macro="" textlink="">
      <xdr:nvSpPr>
        <xdr:cNvPr id="15" name="TextBox 14"/>
        <xdr:cNvSpPr txBox="1"/>
      </xdr:nvSpPr>
      <xdr:spPr>
        <a:xfrm>
          <a:off x="22483233" y="1812925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15</xdr:col>
      <xdr:colOff>214312</xdr:colOff>
      <xdr:row>11</xdr:row>
      <xdr:rowOff>58209</xdr:rowOff>
    </xdr:from>
    <xdr:ext cx="716735" cy="243785"/>
    <xdr:sp macro="" textlink="">
      <xdr:nvSpPr>
        <xdr:cNvPr id="16" name="TextBox 15"/>
        <xdr:cNvSpPr txBox="1"/>
      </xdr:nvSpPr>
      <xdr:spPr>
        <a:xfrm>
          <a:off x="14463712" y="4677834"/>
          <a:ext cx="716735" cy="2437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16</xdr:col>
      <xdr:colOff>38366</xdr:colOff>
      <xdr:row>11</xdr:row>
      <xdr:rowOff>70114</xdr:rowOff>
    </xdr:from>
    <xdr:ext cx="846665" cy="285751"/>
    <xdr:sp macro="" textlink="">
      <xdr:nvSpPr>
        <xdr:cNvPr id="17" name="TextBox 16"/>
        <xdr:cNvSpPr txBox="1"/>
      </xdr:nvSpPr>
      <xdr:spPr>
        <a:xfrm>
          <a:off x="15373616" y="4689739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20</xdr:col>
      <xdr:colOff>309562</xdr:colOff>
      <xdr:row>11</xdr:row>
      <xdr:rowOff>34396</xdr:rowOff>
    </xdr:from>
    <xdr:ext cx="716735" cy="241413"/>
    <xdr:sp macro="" textlink="">
      <xdr:nvSpPr>
        <xdr:cNvPr id="18" name="TextBox 17"/>
        <xdr:cNvSpPr txBox="1"/>
      </xdr:nvSpPr>
      <xdr:spPr>
        <a:xfrm>
          <a:off x="18902362" y="4654021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20</xdr:col>
      <xdr:colOff>1205178</xdr:colOff>
      <xdr:row>11</xdr:row>
      <xdr:rowOff>46302</xdr:rowOff>
    </xdr:from>
    <xdr:ext cx="846665" cy="285751"/>
    <xdr:sp macro="" textlink="">
      <xdr:nvSpPr>
        <xdr:cNvPr id="19" name="TextBox 18"/>
        <xdr:cNvSpPr txBox="1"/>
      </xdr:nvSpPr>
      <xdr:spPr>
        <a:xfrm>
          <a:off x="19797978" y="4665927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22</xdr:col>
      <xdr:colOff>238126</xdr:colOff>
      <xdr:row>11</xdr:row>
      <xdr:rowOff>47625</xdr:rowOff>
    </xdr:from>
    <xdr:ext cx="423770" cy="232308"/>
    <xdr:sp macro="" textlink="">
      <xdr:nvSpPr>
        <xdr:cNvPr id="20" name="TextBox 19"/>
        <xdr:cNvSpPr txBox="1"/>
      </xdr:nvSpPr>
      <xdr:spPr>
        <a:xfrm>
          <a:off x="20974051" y="4667250"/>
          <a:ext cx="423770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14</xdr:col>
      <xdr:colOff>66751</xdr:colOff>
      <xdr:row>2</xdr:row>
      <xdr:rowOff>38325</xdr:rowOff>
    </xdr:from>
    <xdr:ext cx="2545821" cy="655637"/>
    <xdr:sp macro="" textlink="">
      <xdr:nvSpPr>
        <xdr:cNvPr id="21" name="TextBox 20"/>
        <xdr:cNvSpPr txBox="1"/>
      </xdr:nvSpPr>
      <xdr:spPr>
        <a:xfrm>
          <a:off x="13544626" y="371700"/>
          <a:ext cx="2545821" cy="6556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800" i="0">
              <a:latin typeface="Cambria Math" panose="02040503050406030204" pitchFamily="18" charset="0"/>
            </a:rPr>
            <a:t>〖</a:t>
          </a:r>
          <a:r>
            <a:rPr lang="ru-RU" sz="1800" b="0" i="0">
              <a:latin typeface="Cambria Math" panose="02040503050406030204" pitchFamily="18" charset="0"/>
            </a:rPr>
            <a:t>ИНП</a:t>
          </a:r>
          <a:r>
            <a:rPr lang="en-US" sz="1800" b="0" i="0">
              <a:latin typeface="Cambria Math" panose="02040503050406030204" pitchFamily="18" charset="0"/>
            </a:rPr>
            <a:t>〗_𝑖</a:t>
          </a:r>
          <a:r>
            <a:rPr lang="en-US" sz="1800" i="0">
              <a:latin typeface="Cambria Math" panose="02040503050406030204" pitchFamily="18" charset="0"/>
            </a:rPr>
            <a:t>=〖</a:t>
          </a:r>
          <a:r>
            <a:rPr lang="ru-RU" sz="1800" b="0" i="0">
              <a:latin typeface="Cambria Math" panose="02040503050406030204" pitchFamily="18" charset="0"/>
            </a:rPr>
            <a:t>НП</a:t>
          </a:r>
          <a:r>
            <a:rPr lang="en-US" sz="1800" b="0" i="0">
              <a:latin typeface="Cambria Math" panose="02040503050406030204" pitchFamily="18" charset="0"/>
            </a:rPr>
            <a:t>〗_𝑖/</a:t>
          </a:r>
          <a:r>
            <a:rPr lang="ru-RU" sz="1800" b="0" i="0">
              <a:latin typeface="Cambria Math" panose="02040503050406030204" pitchFamily="18" charset="0"/>
            </a:rPr>
            <a:t>Н</a:t>
          </a:r>
          <a:r>
            <a:rPr lang="en-US" sz="1800" b="0" i="0">
              <a:latin typeface="Cambria Math" panose="02040503050406030204" pitchFamily="18" charset="0"/>
            </a:rPr>
            <a:t>_𝑖 </a:t>
          </a:r>
          <a:r>
            <a:rPr lang="ru-RU" sz="1800" i="0">
              <a:latin typeface="Cambria Math" panose="02040503050406030204" pitchFamily="18" charset="0"/>
            </a:rPr>
            <a:t>x 〖∑</a:t>
          </a:r>
          <a:r>
            <a:rPr lang="ru-RU" sz="1800" b="0" i="0">
              <a:latin typeface="Cambria Math" panose="02040503050406030204" pitchFamily="18" charset="0"/>
            </a:rPr>
            <a:t>Н〗_</a:t>
          </a:r>
          <a:r>
            <a:rPr lang="en-US" sz="1800" b="0" i="0">
              <a:latin typeface="Cambria Math" panose="02040503050406030204" pitchFamily="18" charset="0"/>
            </a:rPr>
            <a:t>𝑖</a:t>
          </a:r>
          <a:r>
            <a:rPr lang="ru-RU" sz="1800" b="0" i="0">
              <a:latin typeface="Cambria Math" panose="02040503050406030204" pitchFamily="18" charset="0"/>
            </a:rPr>
            <a:t>/(</a:t>
          </a:r>
          <a:r>
            <a:rPr lang="ru-RU" sz="1800" i="0">
              <a:latin typeface="Cambria Math" panose="02040503050406030204" pitchFamily="18" charset="0"/>
            </a:rPr>
            <a:t>∑〖</a:t>
          </a:r>
          <a:r>
            <a:rPr lang="ru-RU" sz="1800" b="0" i="0">
              <a:latin typeface="Cambria Math" panose="02040503050406030204" pitchFamily="18" charset="0"/>
            </a:rPr>
            <a:t>НП〗_</a:t>
          </a:r>
          <a:r>
            <a:rPr lang="en-US" sz="1800" b="0" i="0">
              <a:latin typeface="Cambria Math" panose="02040503050406030204" pitchFamily="18" charset="0"/>
            </a:rPr>
            <a:t>𝑖 </a:t>
          </a:r>
          <a:r>
            <a:rPr lang="ru-RU" sz="1800" b="0" i="0">
              <a:latin typeface="Cambria Math" panose="02040503050406030204" pitchFamily="18" charset="0"/>
            </a:rPr>
            <a:t>)</a:t>
          </a:r>
          <a:r>
            <a:rPr lang="en-US" sz="1800" i="0">
              <a:latin typeface="Cambria Math" panose="02040503050406030204" pitchFamily="18" charset="0"/>
            </a:rPr>
            <a:t>x</a:t>
          </a:r>
          <a:r>
            <a:rPr lang="ru-RU" sz="1800" b="0" i="0">
              <a:latin typeface="Cambria Math" panose="02040503050406030204" pitchFamily="18" charset="0"/>
            </a:rPr>
            <a:t>К</a:t>
          </a:r>
          <a:r>
            <a:rPr lang="en-US" sz="1800" b="0" i="0">
              <a:latin typeface="Cambria Math" panose="02040503050406030204" pitchFamily="18" charset="0"/>
            </a:rPr>
            <a:t>_𝑖</a:t>
          </a:r>
          <a:endParaRPr lang="ru-RU" sz="18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tergov.%20Relations\Stavropolsky%20Kr\Project%202005\Models\&#1056;&#1072;&#1081;&#1086;&#1085;&#1085;&#1099;&#1077;%20&#1060;&#1060;&#1055;&#1055;\new\&#1056;&#1060;&#1060;&#1055;&#1055;%20&#1057;&#1086;&#1074;&#1077;&#1090;&#1089;&#1082;&#1080;&#1081;%202006%2020.12.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k214_1\LOCALS~1\Temp\Rar$DI84.5235\&#1060;&#1060;&#1055;&#105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Данные"/>
      <sheetName val="Настройка расчета ИБР"/>
      <sheetName val="Настройка расчета БО"/>
      <sheetName val="РЕЗУЛЬТАТ"/>
      <sheetName val="Коэффициенты"/>
      <sheetName val="Расчет ИБР"/>
      <sheetName val="ИБР"/>
      <sheetName val="Расчет дотаций"/>
      <sheetName val="Вспомогательный"/>
      <sheetName val="Диаграммы"/>
      <sheetName val="Рис ИБР"/>
      <sheetName val="Рис1"/>
      <sheetName val="Рис2"/>
      <sheetName val="Рис3"/>
      <sheetName val="Рис4"/>
      <sheetName val="Рис5"/>
      <sheetName val="Рис6"/>
      <sheetName val="Рис7"/>
      <sheetName val="Рис8"/>
      <sheetName val="Сравн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8">
          <cell r="A18">
            <v>1</v>
          </cell>
        </row>
      </sheetData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РЕЗУЛЬТАТ МР"/>
      <sheetName val="РЕЗУЛЬТАТ+1"/>
      <sheetName val="Данные"/>
      <sheetName val="РАСЧЕТ ТРАНСФЕРТОВ"/>
      <sheetName val="Коэф+1"/>
      <sheetName val="Настройка ИБР"/>
      <sheetName val="Нормативы"/>
      <sheetName val="Доходы+1"/>
      <sheetName val="Рис ИБР"/>
      <sheetName val="РАСЧЕТ ИБР+1"/>
      <sheetName val="ИБР+1"/>
      <sheetName val="Расходы+1"/>
      <sheetName val="Диаграммы"/>
      <sheetName val="Рис 1"/>
      <sheetName val="Рис 2"/>
      <sheetName val="Рис 3"/>
      <sheetName val="Вспомогательны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>
        <row r="3">
          <cell r="A3">
            <v>1</v>
          </cell>
        </row>
        <row r="33">
          <cell r="J33" t="str">
            <v>включить</v>
          </cell>
        </row>
        <row r="34">
          <cell r="J34" t="str">
            <v>исключить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CC"/>
  </sheetPr>
  <dimension ref="A1:AV58"/>
  <sheetViews>
    <sheetView topLeftCell="B1" zoomScale="80" zoomScaleNormal="80" zoomScaleSheetLayoutView="75" workbookViewId="0">
      <pane xSplit="1" topLeftCell="C1" activePane="topRight" state="frozen"/>
      <selection activeCell="B1" sqref="A1:XFD1048576"/>
      <selection pane="topRight" activeCell="F20" sqref="F20"/>
    </sheetView>
  </sheetViews>
  <sheetFormatPr defaultRowHeight="12.75"/>
  <cols>
    <col min="1" max="1" width="9.28515625" style="71" bestFit="1" customWidth="1"/>
    <col min="2" max="2" width="31.5703125" style="91" customWidth="1"/>
    <col min="3" max="3" width="13.42578125" style="91" customWidth="1"/>
    <col min="4" max="4" width="13" style="92" customWidth="1"/>
    <col min="5" max="5" width="14.7109375" style="93" customWidth="1"/>
    <col min="6" max="6" width="12.42578125" style="93" customWidth="1"/>
    <col min="7" max="10" width="10.5703125" style="93" customWidth="1"/>
    <col min="11" max="11" width="10.5703125" style="94" customWidth="1"/>
    <col min="12" max="17" width="10.5703125" style="93" customWidth="1"/>
    <col min="18" max="38" width="10.5703125" style="71" customWidth="1"/>
    <col min="39" max="269" width="9.140625" style="71"/>
    <col min="270" max="270" width="18.140625" style="71" customWidth="1"/>
    <col min="271" max="271" width="0" style="71" hidden="1" customWidth="1"/>
    <col min="272" max="272" width="25.85546875" style="71" customWidth="1"/>
    <col min="273" max="273" width="31.5703125" style="71" customWidth="1"/>
    <col min="274" max="274" width="13.140625" style="71" bestFit="1" customWidth="1"/>
    <col min="275" max="275" width="17.42578125" style="71" customWidth="1"/>
    <col min="276" max="276" width="18.42578125" style="71" customWidth="1"/>
    <col min="277" max="277" width="11.7109375" style="71" customWidth="1"/>
    <col min="278" max="278" width="11.85546875" style="71" customWidth="1"/>
    <col min="279" max="279" width="13.42578125" style="71" customWidth="1"/>
    <col min="280" max="280" width="13.140625" style="71" bestFit="1" customWidth="1"/>
    <col min="281" max="281" width="15" style="71" customWidth="1"/>
    <col min="282" max="282" width="15.5703125" style="71" customWidth="1"/>
    <col min="283" max="283" width="15.28515625" style="71" customWidth="1"/>
    <col min="284" max="284" width="13.42578125" style="71" customWidth="1"/>
    <col min="285" max="285" width="15.5703125" style="71" customWidth="1"/>
    <col min="286" max="525" width="9.140625" style="71"/>
    <col min="526" max="526" width="18.140625" style="71" customWidth="1"/>
    <col min="527" max="527" width="0" style="71" hidden="1" customWidth="1"/>
    <col min="528" max="528" width="25.85546875" style="71" customWidth="1"/>
    <col min="529" max="529" width="31.5703125" style="71" customWidth="1"/>
    <col min="530" max="530" width="13.140625" style="71" bestFit="1" customWidth="1"/>
    <col min="531" max="531" width="17.42578125" style="71" customWidth="1"/>
    <col min="532" max="532" width="18.42578125" style="71" customWidth="1"/>
    <col min="533" max="533" width="11.7109375" style="71" customWidth="1"/>
    <col min="534" max="534" width="11.85546875" style="71" customWidth="1"/>
    <col min="535" max="535" width="13.42578125" style="71" customWidth="1"/>
    <col min="536" max="536" width="13.140625" style="71" bestFit="1" customWidth="1"/>
    <col min="537" max="537" width="15" style="71" customWidth="1"/>
    <col min="538" max="538" width="15.5703125" style="71" customWidth="1"/>
    <col min="539" max="539" width="15.28515625" style="71" customWidth="1"/>
    <col min="540" max="540" width="13.42578125" style="71" customWidth="1"/>
    <col min="541" max="541" width="15.5703125" style="71" customWidth="1"/>
    <col min="542" max="781" width="9.140625" style="71"/>
    <col min="782" max="782" width="18.140625" style="71" customWidth="1"/>
    <col min="783" max="783" width="0" style="71" hidden="1" customWidth="1"/>
    <col min="784" max="784" width="25.85546875" style="71" customWidth="1"/>
    <col min="785" max="785" width="31.5703125" style="71" customWidth="1"/>
    <col min="786" max="786" width="13.140625" style="71" bestFit="1" customWidth="1"/>
    <col min="787" max="787" width="17.42578125" style="71" customWidth="1"/>
    <col min="788" max="788" width="18.42578125" style="71" customWidth="1"/>
    <col min="789" max="789" width="11.7109375" style="71" customWidth="1"/>
    <col min="790" max="790" width="11.85546875" style="71" customWidth="1"/>
    <col min="791" max="791" width="13.42578125" style="71" customWidth="1"/>
    <col min="792" max="792" width="13.140625" style="71" bestFit="1" customWidth="1"/>
    <col min="793" max="793" width="15" style="71" customWidth="1"/>
    <col min="794" max="794" width="15.5703125" style="71" customWidth="1"/>
    <col min="795" max="795" width="15.28515625" style="71" customWidth="1"/>
    <col min="796" max="796" width="13.42578125" style="71" customWidth="1"/>
    <col min="797" max="797" width="15.5703125" style="71" customWidth="1"/>
    <col min="798" max="1037" width="9.140625" style="71"/>
    <col min="1038" max="1038" width="18.140625" style="71" customWidth="1"/>
    <col min="1039" max="1039" width="0" style="71" hidden="1" customWidth="1"/>
    <col min="1040" max="1040" width="25.85546875" style="71" customWidth="1"/>
    <col min="1041" max="1041" width="31.5703125" style="71" customWidth="1"/>
    <col min="1042" max="1042" width="13.140625" style="71" bestFit="1" customWidth="1"/>
    <col min="1043" max="1043" width="17.42578125" style="71" customWidth="1"/>
    <col min="1044" max="1044" width="18.42578125" style="71" customWidth="1"/>
    <col min="1045" max="1045" width="11.7109375" style="71" customWidth="1"/>
    <col min="1046" max="1046" width="11.85546875" style="71" customWidth="1"/>
    <col min="1047" max="1047" width="13.42578125" style="71" customWidth="1"/>
    <col min="1048" max="1048" width="13.140625" style="71" bestFit="1" customWidth="1"/>
    <col min="1049" max="1049" width="15" style="71" customWidth="1"/>
    <col min="1050" max="1050" width="15.5703125" style="71" customWidth="1"/>
    <col min="1051" max="1051" width="15.28515625" style="71" customWidth="1"/>
    <col min="1052" max="1052" width="13.42578125" style="71" customWidth="1"/>
    <col min="1053" max="1053" width="15.5703125" style="71" customWidth="1"/>
    <col min="1054" max="1293" width="9.140625" style="71"/>
    <col min="1294" max="1294" width="18.140625" style="71" customWidth="1"/>
    <col min="1295" max="1295" width="0" style="71" hidden="1" customWidth="1"/>
    <col min="1296" max="1296" width="25.85546875" style="71" customWidth="1"/>
    <col min="1297" max="1297" width="31.5703125" style="71" customWidth="1"/>
    <col min="1298" max="1298" width="13.140625" style="71" bestFit="1" customWidth="1"/>
    <col min="1299" max="1299" width="17.42578125" style="71" customWidth="1"/>
    <col min="1300" max="1300" width="18.42578125" style="71" customWidth="1"/>
    <col min="1301" max="1301" width="11.7109375" style="71" customWidth="1"/>
    <col min="1302" max="1302" width="11.85546875" style="71" customWidth="1"/>
    <col min="1303" max="1303" width="13.42578125" style="71" customWidth="1"/>
    <col min="1304" max="1304" width="13.140625" style="71" bestFit="1" customWidth="1"/>
    <col min="1305" max="1305" width="15" style="71" customWidth="1"/>
    <col min="1306" max="1306" width="15.5703125" style="71" customWidth="1"/>
    <col min="1307" max="1307" width="15.28515625" style="71" customWidth="1"/>
    <col min="1308" max="1308" width="13.42578125" style="71" customWidth="1"/>
    <col min="1309" max="1309" width="15.5703125" style="71" customWidth="1"/>
    <col min="1310" max="1549" width="9.140625" style="71"/>
    <col min="1550" max="1550" width="18.140625" style="71" customWidth="1"/>
    <col min="1551" max="1551" width="0" style="71" hidden="1" customWidth="1"/>
    <col min="1552" max="1552" width="25.85546875" style="71" customWidth="1"/>
    <col min="1553" max="1553" width="31.5703125" style="71" customWidth="1"/>
    <col min="1554" max="1554" width="13.140625" style="71" bestFit="1" customWidth="1"/>
    <col min="1555" max="1555" width="17.42578125" style="71" customWidth="1"/>
    <col min="1556" max="1556" width="18.42578125" style="71" customWidth="1"/>
    <col min="1557" max="1557" width="11.7109375" style="71" customWidth="1"/>
    <col min="1558" max="1558" width="11.85546875" style="71" customWidth="1"/>
    <col min="1559" max="1559" width="13.42578125" style="71" customWidth="1"/>
    <col min="1560" max="1560" width="13.140625" style="71" bestFit="1" customWidth="1"/>
    <col min="1561" max="1561" width="15" style="71" customWidth="1"/>
    <col min="1562" max="1562" width="15.5703125" style="71" customWidth="1"/>
    <col min="1563" max="1563" width="15.28515625" style="71" customWidth="1"/>
    <col min="1564" max="1564" width="13.42578125" style="71" customWidth="1"/>
    <col min="1565" max="1565" width="15.5703125" style="71" customWidth="1"/>
    <col min="1566" max="1805" width="9.140625" style="71"/>
    <col min="1806" max="1806" width="18.140625" style="71" customWidth="1"/>
    <col min="1807" max="1807" width="0" style="71" hidden="1" customWidth="1"/>
    <col min="1808" max="1808" width="25.85546875" style="71" customWidth="1"/>
    <col min="1809" max="1809" width="31.5703125" style="71" customWidth="1"/>
    <col min="1810" max="1810" width="13.140625" style="71" bestFit="1" customWidth="1"/>
    <col min="1811" max="1811" width="17.42578125" style="71" customWidth="1"/>
    <col min="1812" max="1812" width="18.42578125" style="71" customWidth="1"/>
    <col min="1813" max="1813" width="11.7109375" style="71" customWidth="1"/>
    <col min="1814" max="1814" width="11.85546875" style="71" customWidth="1"/>
    <col min="1815" max="1815" width="13.42578125" style="71" customWidth="1"/>
    <col min="1816" max="1816" width="13.140625" style="71" bestFit="1" customWidth="1"/>
    <col min="1817" max="1817" width="15" style="71" customWidth="1"/>
    <col min="1818" max="1818" width="15.5703125" style="71" customWidth="1"/>
    <col min="1819" max="1819" width="15.28515625" style="71" customWidth="1"/>
    <col min="1820" max="1820" width="13.42578125" style="71" customWidth="1"/>
    <col min="1821" max="1821" width="15.5703125" style="71" customWidth="1"/>
    <col min="1822" max="2061" width="9.140625" style="71"/>
    <col min="2062" max="2062" width="18.140625" style="71" customWidth="1"/>
    <col min="2063" max="2063" width="0" style="71" hidden="1" customWidth="1"/>
    <col min="2064" max="2064" width="25.85546875" style="71" customWidth="1"/>
    <col min="2065" max="2065" width="31.5703125" style="71" customWidth="1"/>
    <col min="2066" max="2066" width="13.140625" style="71" bestFit="1" customWidth="1"/>
    <col min="2067" max="2067" width="17.42578125" style="71" customWidth="1"/>
    <col min="2068" max="2068" width="18.42578125" style="71" customWidth="1"/>
    <col min="2069" max="2069" width="11.7109375" style="71" customWidth="1"/>
    <col min="2070" max="2070" width="11.85546875" style="71" customWidth="1"/>
    <col min="2071" max="2071" width="13.42578125" style="71" customWidth="1"/>
    <col min="2072" max="2072" width="13.140625" style="71" bestFit="1" customWidth="1"/>
    <col min="2073" max="2073" width="15" style="71" customWidth="1"/>
    <col min="2074" max="2074" width="15.5703125" style="71" customWidth="1"/>
    <col min="2075" max="2075" width="15.28515625" style="71" customWidth="1"/>
    <col min="2076" max="2076" width="13.42578125" style="71" customWidth="1"/>
    <col min="2077" max="2077" width="15.5703125" style="71" customWidth="1"/>
    <col min="2078" max="2317" width="9.140625" style="71"/>
    <col min="2318" max="2318" width="18.140625" style="71" customWidth="1"/>
    <col min="2319" max="2319" width="0" style="71" hidden="1" customWidth="1"/>
    <col min="2320" max="2320" width="25.85546875" style="71" customWidth="1"/>
    <col min="2321" max="2321" width="31.5703125" style="71" customWidth="1"/>
    <col min="2322" max="2322" width="13.140625" style="71" bestFit="1" customWidth="1"/>
    <col min="2323" max="2323" width="17.42578125" style="71" customWidth="1"/>
    <col min="2324" max="2324" width="18.42578125" style="71" customWidth="1"/>
    <col min="2325" max="2325" width="11.7109375" style="71" customWidth="1"/>
    <col min="2326" max="2326" width="11.85546875" style="71" customWidth="1"/>
    <col min="2327" max="2327" width="13.42578125" style="71" customWidth="1"/>
    <col min="2328" max="2328" width="13.140625" style="71" bestFit="1" customWidth="1"/>
    <col min="2329" max="2329" width="15" style="71" customWidth="1"/>
    <col min="2330" max="2330" width="15.5703125" style="71" customWidth="1"/>
    <col min="2331" max="2331" width="15.28515625" style="71" customWidth="1"/>
    <col min="2332" max="2332" width="13.42578125" style="71" customWidth="1"/>
    <col min="2333" max="2333" width="15.5703125" style="71" customWidth="1"/>
    <col min="2334" max="2573" width="9.140625" style="71"/>
    <col min="2574" max="2574" width="18.140625" style="71" customWidth="1"/>
    <col min="2575" max="2575" width="0" style="71" hidden="1" customWidth="1"/>
    <col min="2576" max="2576" width="25.85546875" style="71" customWidth="1"/>
    <col min="2577" max="2577" width="31.5703125" style="71" customWidth="1"/>
    <col min="2578" max="2578" width="13.140625" style="71" bestFit="1" customWidth="1"/>
    <col min="2579" max="2579" width="17.42578125" style="71" customWidth="1"/>
    <col min="2580" max="2580" width="18.42578125" style="71" customWidth="1"/>
    <col min="2581" max="2581" width="11.7109375" style="71" customWidth="1"/>
    <col min="2582" max="2582" width="11.85546875" style="71" customWidth="1"/>
    <col min="2583" max="2583" width="13.42578125" style="71" customWidth="1"/>
    <col min="2584" max="2584" width="13.140625" style="71" bestFit="1" customWidth="1"/>
    <col min="2585" max="2585" width="15" style="71" customWidth="1"/>
    <col min="2586" max="2586" width="15.5703125" style="71" customWidth="1"/>
    <col min="2587" max="2587" width="15.28515625" style="71" customWidth="1"/>
    <col min="2588" max="2588" width="13.42578125" style="71" customWidth="1"/>
    <col min="2589" max="2589" width="15.5703125" style="71" customWidth="1"/>
    <col min="2590" max="2829" width="9.140625" style="71"/>
    <col min="2830" max="2830" width="18.140625" style="71" customWidth="1"/>
    <col min="2831" max="2831" width="0" style="71" hidden="1" customWidth="1"/>
    <col min="2832" max="2832" width="25.85546875" style="71" customWidth="1"/>
    <col min="2833" max="2833" width="31.5703125" style="71" customWidth="1"/>
    <col min="2834" max="2834" width="13.140625" style="71" bestFit="1" customWidth="1"/>
    <col min="2835" max="2835" width="17.42578125" style="71" customWidth="1"/>
    <col min="2836" max="2836" width="18.42578125" style="71" customWidth="1"/>
    <col min="2837" max="2837" width="11.7109375" style="71" customWidth="1"/>
    <col min="2838" max="2838" width="11.85546875" style="71" customWidth="1"/>
    <col min="2839" max="2839" width="13.42578125" style="71" customWidth="1"/>
    <col min="2840" max="2840" width="13.140625" style="71" bestFit="1" customWidth="1"/>
    <col min="2841" max="2841" width="15" style="71" customWidth="1"/>
    <col min="2842" max="2842" width="15.5703125" style="71" customWidth="1"/>
    <col min="2843" max="2843" width="15.28515625" style="71" customWidth="1"/>
    <col min="2844" max="2844" width="13.42578125" style="71" customWidth="1"/>
    <col min="2845" max="2845" width="15.5703125" style="71" customWidth="1"/>
    <col min="2846" max="3085" width="9.140625" style="71"/>
    <col min="3086" max="3086" width="18.140625" style="71" customWidth="1"/>
    <col min="3087" max="3087" width="0" style="71" hidden="1" customWidth="1"/>
    <col min="3088" max="3088" width="25.85546875" style="71" customWidth="1"/>
    <col min="3089" max="3089" width="31.5703125" style="71" customWidth="1"/>
    <col min="3090" max="3090" width="13.140625" style="71" bestFit="1" customWidth="1"/>
    <col min="3091" max="3091" width="17.42578125" style="71" customWidth="1"/>
    <col min="3092" max="3092" width="18.42578125" style="71" customWidth="1"/>
    <col min="3093" max="3093" width="11.7109375" style="71" customWidth="1"/>
    <col min="3094" max="3094" width="11.85546875" style="71" customWidth="1"/>
    <col min="3095" max="3095" width="13.42578125" style="71" customWidth="1"/>
    <col min="3096" max="3096" width="13.140625" style="71" bestFit="1" customWidth="1"/>
    <col min="3097" max="3097" width="15" style="71" customWidth="1"/>
    <col min="3098" max="3098" width="15.5703125" style="71" customWidth="1"/>
    <col min="3099" max="3099" width="15.28515625" style="71" customWidth="1"/>
    <col min="3100" max="3100" width="13.42578125" style="71" customWidth="1"/>
    <col min="3101" max="3101" width="15.5703125" style="71" customWidth="1"/>
    <col min="3102" max="3341" width="9.140625" style="71"/>
    <col min="3342" max="3342" width="18.140625" style="71" customWidth="1"/>
    <col min="3343" max="3343" width="0" style="71" hidden="1" customWidth="1"/>
    <col min="3344" max="3344" width="25.85546875" style="71" customWidth="1"/>
    <col min="3345" max="3345" width="31.5703125" style="71" customWidth="1"/>
    <col min="3346" max="3346" width="13.140625" style="71" bestFit="1" customWidth="1"/>
    <col min="3347" max="3347" width="17.42578125" style="71" customWidth="1"/>
    <col min="3348" max="3348" width="18.42578125" style="71" customWidth="1"/>
    <col min="3349" max="3349" width="11.7109375" style="71" customWidth="1"/>
    <col min="3350" max="3350" width="11.85546875" style="71" customWidth="1"/>
    <col min="3351" max="3351" width="13.42578125" style="71" customWidth="1"/>
    <col min="3352" max="3352" width="13.140625" style="71" bestFit="1" customWidth="1"/>
    <col min="3353" max="3353" width="15" style="71" customWidth="1"/>
    <col min="3354" max="3354" width="15.5703125" style="71" customWidth="1"/>
    <col min="3355" max="3355" width="15.28515625" style="71" customWidth="1"/>
    <col min="3356" max="3356" width="13.42578125" style="71" customWidth="1"/>
    <col min="3357" max="3357" width="15.5703125" style="71" customWidth="1"/>
    <col min="3358" max="3597" width="9.140625" style="71"/>
    <col min="3598" max="3598" width="18.140625" style="71" customWidth="1"/>
    <col min="3599" max="3599" width="0" style="71" hidden="1" customWidth="1"/>
    <col min="3600" max="3600" width="25.85546875" style="71" customWidth="1"/>
    <col min="3601" max="3601" width="31.5703125" style="71" customWidth="1"/>
    <col min="3602" max="3602" width="13.140625" style="71" bestFit="1" customWidth="1"/>
    <col min="3603" max="3603" width="17.42578125" style="71" customWidth="1"/>
    <col min="3604" max="3604" width="18.42578125" style="71" customWidth="1"/>
    <col min="3605" max="3605" width="11.7109375" style="71" customWidth="1"/>
    <col min="3606" max="3606" width="11.85546875" style="71" customWidth="1"/>
    <col min="3607" max="3607" width="13.42578125" style="71" customWidth="1"/>
    <col min="3608" max="3608" width="13.140625" style="71" bestFit="1" customWidth="1"/>
    <col min="3609" max="3609" width="15" style="71" customWidth="1"/>
    <col min="3610" max="3610" width="15.5703125" style="71" customWidth="1"/>
    <col min="3611" max="3611" width="15.28515625" style="71" customWidth="1"/>
    <col min="3612" max="3612" width="13.42578125" style="71" customWidth="1"/>
    <col min="3613" max="3613" width="15.5703125" style="71" customWidth="1"/>
    <col min="3614" max="3853" width="9.140625" style="71"/>
    <col min="3854" max="3854" width="18.140625" style="71" customWidth="1"/>
    <col min="3855" max="3855" width="0" style="71" hidden="1" customWidth="1"/>
    <col min="3856" max="3856" width="25.85546875" style="71" customWidth="1"/>
    <col min="3857" max="3857" width="31.5703125" style="71" customWidth="1"/>
    <col min="3858" max="3858" width="13.140625" style="71" bestFit="1" customWidth="1"/>
    <col min="3859" max="3859" width="17.42578125" style="71" customWidth="1"/>
    <col min="3860" max="3860" width="18.42578125" style="71" customWidth="1"/>
    <col min="3861" max="3861" width="11.7109375" style="71" customWidth="1"/>
    <col min="3862" max="3862" width="11.85546875" style="71" customWidth="1"/>
    <col min="3863" max="3863" width="13.42578125" style="71" customWidth="1"/>
    <col min="3864" max="3864" width="13.140625" style="71" bestFit="1" customWidth="1"/>
    <col min="3865" max="3865" width="15" style="71" customWidth="1"/>
    <col min="3866" max="3866" width="15.5703125" style="71" customWidth="1"/>
    <col min="3867" max="3867" width="15.28515625" style="71" customWidth="1"/>
    <col min="3868" max="3868" width="13.42578125" style="71" customWidth="1"/>
    <col min="3869" max="3869" width="15.5703125" style="71" customWidth="1"/>
    <col min="3870" max="4109" width="9.140625" style="71"/>
    <col min="4110" max="4110" width="18.140625" style="71" customWidth="1"/>
    <col min="4111" max="4111" width="0" style="71" hidden="1" customWidth="1"/>
    <col min="4112" max="4112" width="25.85546875" style="71" customWidth="1"/>
    <col min="4113" max="4113" width="31.5703125" style="71" customWidth="1"/>
    <col min="4114" max="4114" width="13.140625" style="71" bestFit="1" customWidth="1"/>
    <col min="4115" max="4115" width="17.42578125" style="71" customWidth="1"/>
    <col min="4116" max="4116" width="18.42578125" style="71" customWidth="1"/>
    <col min="4117" max="4117" width="11.7109375" style="71" customWidth="1"/>
    <col min="4118" max="4118" width="11.85546875" style="71" customWidth="1"/>
    <col min="4119" max="4119" width="13.42578125" style="71" customWidth="1"/>
    <col min="4120" max="4120" width="13.140625" style="71" bestFit="1" customWidth="1"/>
    <col min="4121" max="4121" width="15" style="71" customWidth="1"/>
    <col min="4122" max="4122" width="15.5703125" style="71" customWidth="1"/>
    <col min="4123" max="4123" width="15.28515625" style="71" customWidth="1"/>
    <col min="4124" max="4124" width="13.42578125" style="71" customWidth="1"/>
    <col min="4125" max="4125" width="15.5703125" style="71" customWidth="1"/>
    <col min="4126" max="4365" width="9.140625" style="71"/>
    <col min="4366" max="4366" width="18.140625" style="71" customWidth="1"/>
    <col min="4367" max="4367" width="0" style="71" hidden="1" customWidth="1"/>
    <col min="4368" max="4368" width="25.85546875" style="71" customWidth="1"/>
    <col min="4369" max="4369" width="31.5703125" style="71" customWidth="1"/>
    <col min="4370" max="4370" width="13.140625" style="71" bestFit="1" customWidth="1"/>
    <col min="4371" max="4371" width="17.42578125" style="71" customWidth="1"/>
    <col min="4372" max="4372" width="18.42578125" style="71" customWidth="1"/>
    <col min="4373" max="4373" width="11.7109375" style="71" customWidth="1"/>
    <col min="4374" max="4374" width="11.85546875" style="71" customWidth="1"/>
    <col min="4375" max="4375" width="13.42578125" style="71" customWidth="1"/>
    <col min="4376" max="4376" width="13.140625" style="71" bestFit="1" customWidth="1"/>
    <col min="4377" max="4377" width="15" style="71" customWidth="1"/>
    <col min="4378" max="4378" width="15.5703125" style="71" customWidth="1"/>
    <col min="4379" max="4379" width="15.28515625" style="71" customWidth="1"/>
    <col min="4380" max="4380" width="13.42578125" style="71" customWidth="1"/>
    <col min="4381" max="4381" width="15.5703125" style="71" customWidth="1"/>
    <col min="4382" max="4621" width="9.140625" style="71"/>
    <col min="4622" max="4622" width="18.140625" style="71" customWidth="1"/>
    <col min="4623" max="4623" width="0" style="71" hidden="1" customWidth="1"/>
    <col min="4624" max="4624" width="25.85546875" style="71" customWidth="1"/>
    <col min="4625" max="4625" width="31.5703125" style="71" customWidth="1"/>
    <col min="4626" max="4626" width="13.140625" style="71" bestFit="1" customWidth="1"/>
    <col min="4627" max="4627" width="17.42578125" style="71" customWidth="1"/>
    <col min="4628" max="4628" width="18.42578125" style="71" customWidth="1"/>
    <col min="4629" max="4629" width="11.7109375" style="71" customWidth="1"/>
    <col min="4630" max="4630" width="11.85546875" style="71" customWidth="1"/>
    <col min="4631" max="4631" width="13.42578125" style="71" customWidth="1"/>
    <col min="4632" max="4632" width="13.140625" style="71" bestFit="1" customWidth="1"/>
    <col min="4633" max="4633" width="15" style="71" customWidth="1"/>
    <col min="4634" max="4634" width="15.5703125" style="71" customWidth="1"/>
    <col min="4635" max="4635" width="15.28515625" style="71" customWidth="1"/>
    <col min="4636" max="4636" width="13.42578125" style="71" customWidth="1"/>
    <col min="4637" max="4637" width="15.5703125" style="71" customWidth="1"/>
    <col min="4638" max="4877" width="9.140625" style="71"/>
    <col min="4878" max="4878" width="18.140625" style="71" customWidth="1"/>
    <col min="4879" max="4879" width="0" style="71" hidden="1" customWidth="1"/>
    <col min="4880" max="4880" width="25.85546875" style="71" customWidth="1"/>
    <col min="4881" max="4881" width="31.5703125" style="71" customWidth="1"/>
    <col min="4882" max="4882" width="13.140625" style="71" bestFit="1" customWidth="1"/>
    <col min="4883" max="4883" width="17.42578125" style="71" customWidth="1"/>
    <col min="4884" max="4884" width="18.42578125" style="71" customWidth="1"/>
    <col min="4885" max="4885" width="11.7109375" style="71" customWidth="1"/>
    <col min="4886" max="4886" width="11.85546875" style="71" customWidth="1"/>
    <col min="4887" max="4887" width="13.42578125" style="71" customWidth="1"/>
    <col min="4888" max="4888" width="13.140625" style="71" bestFit="1" customWidth="1"/>
    <col min="4889" max="4889" width="15" style="71" customWidth="1"/>
    <col min="4890" max="4890" width="15.5703125" style="71" customWidth="1"/>
    <col min="4891" max="4891" width="15.28515625" style="71" customWidth="1"/>
    <col min="4892" max="4892" width="13.42578125" style="71" customWidth="1"/>
    <col min="4893" max="4893" width="15.5703125" style="71" customWidth="1"/>
    <col min="4894" max="5133" width="9.140625" style="71"/>
    <col min="5134" max="5134" width="18.140625" style="71" customWidth="1"/>
    <col min="5135" max="5135" width="0" style="71" hidden="1" customWidth="1"/>
    <col min="5136" max="5136" width="25.85546875" style="71" customWidth="1"/>
    <col min="5137" max="5137" width="31.5703125" style="71" customWidth="1"/>
    <col min="5138" max="5138" width="13.140625" style="71" bestFit="1" customWidth="1"/>
    <col min="5139" max="5139" width="17.42578125" style="71" customWidth="1"/>
    <col min="5140" max="5140" width="18.42578125" style="71" customWidth="1"/>
    <col min="5141" max="5141" width="11.7109375" style="71" customWidth="1"/>
    <col min="5142" max="5142" width="11.85546875" style="71" customWidth="1"/>
    <col min="5143" max="5143" width="13.42578125" style="71" customWidth="1"/>
    <col min="5144" max="5144" width="13.140625" style="71" bestFit="1" customWidth="1"/>
    <col min="5145" max="5145" width="15" style="71" customWidth="1"/>
    <col min="5146" max="5146" width="15.5703125" style="71" customWidth="1"/>
    <col min="5147" max="5147" width="15.28515625" style="71" customWidth="1"/>
    <col min="5148" max="5148" width="13.42578125" style="71" customWidth="1"/>
    <col min="5149" max="5149" width="15.5703125" style="71" customWidth="1"/>
    <col min="5150" max="5389" width="9.140625" style="71"/>
    <col min="5390" max="5390" width="18.140625" style="71" customWidth="1"/>
    <col min="5391" max="5391" width="0" style="71" hidden="1" customWidth="1"/>
    <col min="5392" max="5392" width="25.85546875" style="71" customWidth="1"/>
    <col min="5393" max="5393" width="31.5703125" style="71" customWidth="1"/>
    <col min="5394" max="5394" width="13.140625" style="71" bestFit="1" customWidth="1"/>
    <col min="5395" max="5395" width="17.42578125" style="71" customWidth="1"/>
    <col min="5396" max="5396" width="18.42578125" style="71" customWidth="1"/>
    <col min="5397" max="5397" width="11.7109375" style="71" customWidth="1"/>
    <col min="5398" max="5398" width="11.85546875" style="71" customWidth="1"/>
    <col min="5399" max="5399" width="13.42578125" style="71" customWidth="1"/>
    <col min="5400" max="5400" width="13.140625" style="71" bestFit="1" customWidth="1"/>
    <col min="5401" max="5401" width="15" style="71" customWidth="1"/>
    <col min="5402" max="5402" width="15.5703125" style="71" customWidth="1"/>
    <col min="5403" max="5403" width="15.28515625" style="71" customWidth="1"/>
    <col min="5404" max="5404" width="13.42578125" style="71" customWidth="1"/>
    <col min="5405" max="5405" width="15.5703125" style="71" customWidth="1"/>
    <col min="5406" max="5645" width="9.140625" style="71"/>
    <col min="5646" max="5646" width="18.140625" style="71" customWidth="1"/>
    <col min="5647" max="5647" width="0" style="71" hidden="1" customWidth="1"/>
    <col min="5648" max="5648" width="25.85546875" style="71" customWidth="1"/>
    <col min="5649" max="5649" width="31.5703125" style="71" customWidth="1"/>
    <col min="5650" max="5650" width="13.140625" style="71" bestFit="1" customWidth="1"/>
    <col min="5651" max="5651" width="17.42578125" style="71" customWidth="1"/>
    <col min="5652" max="5652" width="18.42578125" style="71" customWidth="1"/>
    <col min="5653" max="5653" width="11.7109375" style="71" customWidth="1"/>
    <col min="5654" max="5654" width="11.85546875" style="71" customWidth="1"/>
    <col min="5655" max="5655" width="13.42578125" style="71" customWidth="1"/>
    <col min="5656" max="5656" width="13.140625" style="71" bestFit="1" customWidth="1"/>
    <col min="5657" max="5657" width="15" style="71" customWidth="1"/>
    <col min="5658" max="5658" width="15.5703125" style="71" customWidth="1"/>
    <col min="5659" max="5659" width="15.28515625" style="71" customWidth="1"/>
    <col min="5660" max="5660" width="13.42578125" style="71" customWidth="1"/>
    <col min="5661" max="5661" width="15.5703125" style="71" customWidth="1"/>
    <col min="5662" max="5901" width="9.140625" style="71"/>
    <col min="5902" max="5902" width="18.140625" style="71" customWidth="1"/>
    <col min="5903" max="5903" width="0" style="71" hidden="1" customWidth="1"/>
    <col min="5904" max="5904" width="25.85546875" style="71" customWidth="1"/>
    <col min="5905" max="5905" width="31.5703125" style="71" customWidth="1"/>
    <col min="5906" max="5906" width="13.140625" style="71" bestFit="1" customWidth="1"/>
    <col min="5907" max="5907" width="17.42578125" style="71" customWidth="1"/>
    <col min="5908" max="5908" width="18.42578125" style="71" customWidth="1"/>
    <col min="5909" max="5909" width="11.7109375" style="71" customWidth="1"/>
    <col min="5910" max="5910" width="11.85546875" style="71" customWidth="1"/>
    <col min="5911" max="5911" width="13.42578125" style="71" customWidth="1"/>
    <col min="5912" max="5912" width="13.140625" style="71" bestFit="1" customWidth="1"/>
    <col min="5913" max="5913" width="15" style="71" customWidth="1"/>
    <col min="5914" max="5914" width="15.5703125" style="71" customWidth="1"/>
    <col min="5915" max="5915" width="15.28515625" style="71" customWidth="1"/>
    <col min="5916" max="5916" width="13.42578125" style="71" customWidth="1"/>
    <col min="5917" max="5917" width="15.5703125" style="71" customWidth="1"/>
    <col min="5918" max="6157" width="9.140625" style="71"/>
    <col min="6158" max="6158" width="18.140625" style="71" customWidth="1"/>
    <col min="6159" max="6159" width="0" style="71" hidden="1" customWidth="1"/>
    <col min="6160" max="6160" width="25.85546875" style="71" customWidth="1"/>
    <col min="6161" max="6161" width="31.5703125" style="71" customWidth="1"/>
    <col min="6162" max="6162" width="13.140625" style="71" bestFit="1" customWidth="1"/>
    <col min="6163" max="6163" width="17.42578125" style="71" customWidth="1"/>
    <col min="6164" max="6164" width="18.42578125" style="71" customWidth="1"/>
    <col min="6165" max="6165" width="11.7109375" style="71" customWidth="1"/>
    <col min="6166" max="6166" width="11.85546875" style="71" customWidth="1"/>
    <col min="6167" max="6167" width="13.42578125" style="71" customWidth="1"/>
    <col min="6168" max="6168" width="13.140625" style="71" bestFit="1" customWidth="1"/>
    <col min="6169" max="6169" width="15" style="71" customWidth="1"/>
    <col min="6170" max="6170" width="15.5703125" style="71" customWidth="1"/>
    <col min="6171" max="6171" width="15.28515625" style="71" customWidth="1"/>
    <col min="6172" max="6172" width="13.42578125" style="71" customWidth="1"/>
    <col min="6173" max="6173" width="15.5703125" style="71" customWidth="1"/>
    <col min="6174" max="6413" width="9.140625" style="71"/>
    <col min="6414" max="6414" width="18.140625" style="71" customWidth="1"/>
    <col min="6415" max="6415" width="0" style="71" hidden="1" customWidth="1"/>
    <col min="6416" max="6416" width="25.85546875" style="71" customWidth="1"/>
    <col min="6417" max="6417" width="31.5703125" style="71" customWidth="1"/>
    <col min="6418" max="6418" width="13.140625" style="71" bestFit="1" customWidth="1"/>
    <col min="6419" max="6419" width="17.42578125" style="71" customWidth="1"/>
    <col min="6420" max="6420" width="18.42578125" style="71" customWidth="1"/>
    <col min="6421" max="6421" width="11.7109375" style="71" customWidth="1"/>
    <col min="6422" max="6422" width="11.85546875" style="71" customWidth="1"/>
    <col min="6423" max="6423" width="13.42578125" style="71" customWidth="1"/>
    <col min="6424" max="6424" width="13.140625" style="71" bestFit="1" customWidth="1"/>
    <col min="6425" max="6425" width="15" style="71" customWidth="1"/>
    <col min="6426" max="6426" width="15.5703125" style="71" customWidth="1"/>
    <col min="6427" max="6427" width="15.28515625" style="71" customWidth="1"/>
    <col min="6428" max="6428" width="13.42578125" style="71" customWidth="1"/>
    <col min="6429" max="6429" width="15.5703125" style="71" customWidth="1"/>
    <col min="6430" max="6669" width="9.140625" style="71"/>
    <col min="6670" max="6670" width="18.140625" style="71" customWidth="1"/>
    <col min="6671" max="6671" width="0" style="71" hidden="1" customWidth="1"/>
    <col min="6672" max="6672" width="25.85546875" style="71" customWidth="1"/>
    <col min="6673" max="6673" width="31.5703125" style="71" customWidth="1"/>
    <col min="6674" max="6674" width="13.140625" style="71" bestFit="1" customWidth="1"/>
    <col min="6675" max="6675" width="17.42578125" style="71" customWidth="1"/>
    <col min="6676" max="6676" width="18.42578125" style="71" customWidth="1"/>
    <col min="6677" max="6677" width="11.7109375" style="71" customWidth="1"/>
    <col min="6678" max="6678" width="11.85546875" style="71" customWidth="1"/>
    <col min="6679" max="6679" width="13.42578125" style="71" customWidth="1"/>
    <col min="6680" max="6680" width="13.140625" style="71" bestFit="1" customWidth="1"/>
    <col min="6681" max="6681" width="15" style="71" customWidth="1"/>
    <col min="6682" max="6682" width="15.5703125" style="71" customWidth="1"/>
    <col min="6683" max="6683" width="15.28515625" style="71" customWidth="1"/>
    <col min="6684" max="6684" width="13.42578125" style="71" customWidth="1"/>
    <col min="6685" max="6685" width="15.5703125" style="71" customWidth="1"/>
    <col min="6686" max="6925" width="9.140625" style="71"/>
    <col min="6926" max="6926" width="18.140625" style="71" customWidth="1"/>
    <col min="6927" max="6927" width="0" style="71" hidden="1" customWidth="1"/>
    <col min="6928" max="6928" width="25.85546875" style="71" customWidth="1"/>
    <col min="6929" max="6929" width="31.5703125" style="71" customWidth="1"/>
    <col min="6930" max="6930" width="13.140625" style="71" bestFit="1" customWidth="1"/>
    <col min="6931" max="6931" width="17.42578125" style="71" customWidth="1"/>
    <col min="6932" max="6932" width="18.42578125" style="71" customWidth="1"/>
    <col min="6933" max="6933" width="11.7109375" style="71" customWidth="1"/>
    <col min="6934" max="6934" width="11.85546875" style="71" customWidth="1"/>
    <col min="6935" max="6935" width="13.42578125" style="71" customWidth="1"/>
    <col min="6936" max="6936" width="13.140625" style="71" bestFit="1" customWidth="1"/>
    <col min="6937" max="6937" width="15" style="71" customWidth="1"/>
    <col min="6938" max="6938" width="15.5703125" style="71" customWidth="1"/>
    <col min="6939" max="6939" width="15.28515625" style="71" customWidth="1"/>
    <col min="6940" max="6940" width="13.42578125" style="71" customWidth="1"/>
    <col min="6941" max="6941" width="15.5703125" style="71" customWidth="1"/>
    <col min="6942" max="7181" width="9.140625" style="71"/>
    <col min="7182" max="7182" width="18.140625" style="71" customWidth="1"/>
    <col min="7183" max="7183" width="0" style="71" hidden="1" customWidth="1"/>
    <col min="7184" max="7184" width="25.85546875" style="71" customWidth="1"/>
    <col min="7185" max="7185" width="31.5703125" style="71" customWidth="1"/>
    <col min="7186" max="7186" width="13.140625" style="71" bestFit="1" customWidth="1"/>
    <col min="7187" max="7187" width="17.42578125" style="71" customWidth="1"/>
    <col min="7188" max="7188" width="18.42578125" style="71" customWidth="1"/>
    <col min="7189" max="7189" width="11.7109375" style="71" customWidth="1"/>
    <col min="7190" max="7190" width="11.85546875" style="71" customWidth="1"/>
    <col min="7191" max="7191" width="13.42578125" style="71" customWidth="1"/>
    <col min="7192" max="7192" width="13.140625" style="71" bestFit="1" customWidth="1"/>
    <col min="7193" max="7193" width="15" style="71" customWidth="1"/>
    <col min="7194" max="7194" width="15.5703125" style="71" customWidth="1"/>
    <col min="7195" max="7195" width="15.28515625" style="71" customWidth="1"/>
    <col min="7196" max="7196" width="13.42578125" style="71" customWidth="1"/>
    <col min="7197" max="7197" width="15.5703125" style="71" customWidth="1"/>
    <col min="7198" max="7437" width="9.140625" style="71"/>
    <col min="7438" max="7438" width="18.140625" style="71" customWidth="1"/>
    <col min="7439" max="7439" width="0" style="71" hidden="1" customWidth="1"/>
    <col min="7440" max="7440" width="25.85546875" style="71" customWidth="1"/>
    <col min="7441" max="7441" width="31.5703125" style="71" customWidth="1"/>
    <col min="7442" max="7442" width="13.140625" style="71" bestFit="1" customWidth="1"/>
    <col min="7443" max="7443" width="17.42578125" style="71" customWidth="1"/>
    <col min="7444" max="7444" width="18.42578125" style="71" customWidth="1"/>
    <col min="7445" max="7445" width="11.7109375" style="71" customWidth="1"/>
    <col min="7446" max="7446" width="11.85546875" style="71" customWidth="1"/>
    <col min="7447" max="7447" width="13.42578125" style="71" customWidth="1"/>
    <col min="7448" max="7448" width="13.140625" style="71" bestFit="1" customWidth="1"/>
    <col min="7449" max="7449" width="15" style="71" customWidth="1"/>
    <col min="7450" max="7450" width="15.5703125" style="71" customWidth="1"/>
    <col min="7451" max="7451" width="15.28515625" style="71" customWidth="1"/>
    <col min="7452" max="7452" width="13.42578125" style="71" customWidth="1"/>
    <col min="7453" max="7453" width="15.5703125" style="71" customWidth="1"/>
    <col min="7454" max="7693" width="9.140625" style="71"/>
    <col min="7694" max="7694" width="18.140625" style="71" customWidth="1"/>
    <col min="7695" max="7695" width="0" style="71" hidden="1" customWidth="1"/>
    <col min="7696" max="7696" width="25.85546875" style="71" customWidth="1"/>
    <col min="7697" max="7697" width="31.5703125" style="71" customWidth="1"/>
    <col min="7698" max="7698" width="13.140625" style="71" bestFit="1" customWidth="1"/>
    <col min="7699" max="7699" width="17.42578125" style="71" customWidth="1"/>
    <col min="7700" max="7700" width="18.42578125" style="71" customWidth="1"/>
    <col min="7701" max="7701" width="11.7109375" style="71" customWidth="1"/>
    <col min="7702" max="7702" width="11.85546875" style="71" customWidth="1"/>
    <col min="7703" max="7703" width="13.42578125" style="71" customWidth="1"/>
    <col min="7704" max="7704" width="13.140625" style="71" bestFit="1" customWidth="1"/>
    <col min="7705" max="7705" width="15" style="71" customWidth="1"/>
    <col min="7706" max="7706" width="15.5703125" style="71" customWidth="1"/>
    <col min="7707" max="7707" width="15.28515625" style="71" customWidth="1"/>
    <col min="7708" max="7708" width="13.42578125" style="71" customWidth="1"/>
    <col min="7709" max="7709" width="15.5703125" style="71" customWidth="1"/>
    <col min="7710" max="7949" width="9.140625" style="71"/>
    <col min="7950" max="7950" width="18.140625" style="71" customWidth="1"/>
    <col min="7951" max="7951" width="0" style="71" hidden="1" customWidth="1"/>
    <col min="7952" max="7952" width="25.85546875" style="71" customWidth="1"/>
    <col min="7953" max="7953" width="31.5703125" style="71" customWidth="1"/>
    <col min="7954" max="7954" width="13.140625" style="71" bestFit="1" customWidth="1"/>
    <col min="7955" max="7955" width="17.42578125" style="71" customWidth="1"/>
    <col min="7956" max="7956" width="18.42578125" style="71" customWidth="1"/>
    <col min="7957" max="7957" width="11.7109375" style="71" customWidth="1"/>
    <col min="7958" max="7958" width="11.85546875" style="71" customWidth="1"/>
    <col min="7959" max="7959" width="13.42578125" style="71" customWidth="1"/>
    <col min="7960" max="7960" width="13.140625" style="71" bestFit="1" customWidth="1"/>
    <col min="7961" max="7961" width="15" style="71" customWidth="1"/>
    <col min="7962" max="7962" width="15.5703125" style="71" customWidth="1"/>
    <col min="7963" max="7963" width="15.28515625" style="71" customWidth="1"/>
    <col min="7964" max="7964" width="13.42578125" style="71" customWidth="1"/>
    <col min="7965" max="7965" width="15.5703125" style="71" customWidth="1"/>
    <col min="7966" max="8205" width="9.140625" style="71"/>
    <col min="8206" max="8206" width="18.140625" style="71" customWidth="1"/>
    <col min="8207" max="8207" width="0" style="71" hidden="1" customWidth="1"/>
    <col min="8208" max="8208" width="25.85546875" style="71" customWidth="1"/>
    <col min="8209" max="8209" width="31.5703125" style="71" customWidth="1"/>
    <col min="8210" max="8210" width="13.140625" style="71" bestFit="1" customWidth="1"/>
    <col min="8211" max="8211" width="17.42578125" style="71" customWidth="1"/>
    <col min="8212" max="8212" width="18.42578125" style="71" customWidth="1"/>
    <col min="8213" max="8213" width="11.7109375" style="71" customWidth="1"/>
    <col min="8214" max="8214" width="11.85546875" style="71" customWidth="1"/>
    <col min="8215" max="8215" width="13.42578125" style="71" customWidth="1"/>
    <col min="8216" max="8216" width="13.140625" style="71" bestFit="1" customWidth="1"/>
    <col min="8217" max="8217" width="15" style="71" customWidth="1"/>
    <col min="8218" max="8218" width="15.5703125" style="71" customWidth="1"/>
    <col min="8219" max="8219" width="15.28515625" style="71" customWidth="1"/>
    <col min="8220" max="8220" width="13.42578125" style="71" customWidth="1"/>
    <col min="8221" max="8221" width="15.5703125" style="71" customWidth="1"/>
    <col min="8222" max="8461" width="9.140625" style="71"/>
    <col min="8462" max="8462" width="18.140625" style="71" customWidth="1"/>
    <col min="8463" max="8463" width="0" style="71" hidden="1" customWidth="1"/>
    <col min="8464" max="8464" width="25.85546875" style="71" customWidth="1"/>
    <col min="8465" max="8465" width="31.5703125" style="71" customWidth="1"/>
    <col min="8466" max="8466" width="13.140625" style="71" bestFit="1" customWidth="1"/>
    <col min="8467" max="8467" width="17.42578125" style="71" customWidth="1"/>
    <col min="8468" max="8468" width="18.42578125" style="71" customWidth="1"/>
    <col min="8469" max="8469" width="11.7109375" style="71" customWidth="1"/>
    <col min="8470" max="8470" width="11.85546875" style="71" customWidth="1"/>
    <col min="8471" max="8471" width="13.42578125" style="71" customWidth="1"/>
    <col min="8472" max="8472" width="13.140625" style="71" bestFit="1" customWidth="1"/>
    <col min="8473" max="8473" width="15" style="71" customWidth="1"/>
    <col min="8474" max="8474" width="15.5703125" style="71" customWidth="1"/>
    <col min="8475" max="8475" width="15.28515625" style="71" customWidth="1"/>
    <col min="8476" max="8476" width="13.42578125" style="71" customWidth="1"/>
    <col min="8477" max="8477" width="15.5703125" style="71" customWidth="1"/>
    <col min="8478" max="8717" width="9.140625" style="71"/>
    <col min="8718" max="8718" width="18.140625" style="71" customWidth="1"/>
    <col min="8719" max="8719" width="0" style="71" hidden="1" customWidth="1"/>
    <col min="8720" max="8720" width="25.85546875" style="71" customWidth="1"/>
    <col min="8721" max="8721" width="31.5703125" style="71" customWidth="1"/>
    <col min="8722" max="8722" width="13.140625" style="71" bestFit="1" customWidth="1"/>
    <col min="8723" max="8723" width="17.42578125" style="71" customWidth="1"/>
    <col min="8724" max="8724" width="18.42578125" style="71" customWidth="1"/>
    <col min="8725" max="8725" width="11.7109375" style="71" customWidth="1"/>
    <col min="8726" max="8726" width="11.85546875" style="71" customWidth="1"/>
    <col min="8727" max="8727" width="13.42578125" style="71" customWidth="1"/>
    <col min="8728" max="8728" width="13.140625" style="71" bestFit="1" customWidth="1"/>
    <col min="8729" max="8729" width="15" style="71" customWidth="1"/>
    <col min="8730" max="8730" width="15.5703125" style="71" customWidth="1"/>
    <col min="8731" max="8731" width="15.28515625" style="71" customWidth="1"/>
    <col min="8732" max="8732" width="13.42578125" style="71" customWidth="1"/>
    <col min="8733" max="8733" width="15.5703125" style="71" customWidth="1"/>
    <col min="8734" max="8973" width="9.140625" style="71"/>
    <col min="8974" max="8974" width="18.140625" style="71" customWidth="1"/>
    <col min="8975" max="8975" width="0" style="71" hidden="1" customWidth="1"/>
    <col min="8976" max="8976" width="25.85546875" style="71" customWidth="1"/>
    <col min="8977" max="8977" width="31.5703125" style="71" customWidth="1"/>
    <col min="8978" max="8978" width="13.140625" style="71" bestFit="1" customWidth="1"/>
    <col min="8979" max="8979" width="17.42578125" style="71" customWidth="1"/>
    <col min="8980" max="8980" width="18.42578125" style="71" customWidth="1"/>
    <col min="8981" max="8981" width="11.7109375" style="71" customWidth="1"/>
    <col min="8982" max="8982" width="11.85546875" style="71" customWidth="1"/>
    <col min="8983" max="8983" width="13.42578125" style="71" customWidth="1"/>
    <col min="8984" max="8984" width="13.140625" style="71" bestFit="1" customWidth="1"/>
    <col min="8985" max="8985" width="15" style="71" customWidth="1"/>
    <col min="8986" max="8986" width="15.5703125" style="71" customWidth="1"/>
    <col min="8987" max="8987" width="15.28515625" style="71" customWidth="1"/>
    <col min="8988" max="8988" width="13.42578125" style="71" customWidth="1"/>
    <col min="8989" max="8989" width="15.5703125" style="71" customWidth="1"/>
    <col min="8990" max="9229" width="9.140625" style="71"/>
    <col min="9230" max="9230" width="18.140625" style="71" customWidth="1"/>
    <col min="9231" max="9231" width="0" style="71" hidden="1" customWidth="1"/>
    <col min="9232" max="9232" width="25.85546875" style="71" customWidth="1"/>
    <col min="9233" max="9233" width="31.5703125" style="71" customWidth="1"/>
    <col min="9234" max="9234" width="13.140625" style="71" bestFit="1" customWidth="1"/>
    <col min="9235" max="9235" width="17.42578125" style="71" customWidth="1"/>
    <col min="9236" max="9236" width="18.42578125" style="71" customWidth="1"/>
    <col min="9237" max="9237" width="11.7109375" style="71" customWidth="1"/>
    <col min="9238" max="9238" width="11.85546875" style="71" customWidth="1"/>
    <col min="9239" max="9239" width="13.42578125" style="71" customWidth="1"/>
    <col min="9240" max="9240" width="13.140625" style="71" bestFit="1" customWidth="1"/>
    <col min="9241" max="9241" width="15" style="71" customWidth="1"/>
    <col min="9242" max="9242" width="15.5703125" style="71" customWidth="1"/>
    <col min="9243" max="9243" width="15.28515625" style="71" customWidth="1"/>
    <col min="9244" max="9244" width="13.42578125" style="71" customWidth="1"/>
    <col min="9245" max="9245" width="15.5703125" style="71" customWidth="1"/>
    <col min="9246" max="9485" width="9.140625" style="71"/>
    <col min="9486" max="9486" width="18.140625" style="71" customWidth="1"/>
    <col min="9487" max="9487" width="0" style="71" hidden="1" customWidth="1"/>
    <col min="9488" max="9488" width="25.85546875" style="71" customWidth="1"/>
    <col min="9489" max="9489" width="31.5703125" style="71" customWidth="1"/>
    <col min="9490" max="9490" width="13.140625" style="71" bestFit="1" customWidth="1"/>
    <col min="9491" max="9491" width="17.42578125" style="71" customWidth="1"/>
    <col min="9492" max="9492" width="18.42578125" style="71" customWidth="1"/>
    <col min="9493" max="9493" width="11.7109375" style="71" customWidth="1"/>
    <col min="9494" max="9494" width="11.85546875" style="71" customWidth="1"/>
    <col min="9495" max="9495" width="13.42578125" style="71" customWidth="1"/>
    <col min="9496" max="9496" width="13.140625" style="71" bestFit="1" customWidth="1"/>
    <col min="9497" max="9497" width="15" style="71" customWidth="1"/>
    <col min="9498" max="9498" width="15.5703125" style="71" customWidth="1"/>
    <col min="9499" max="9499" width="15.28515625" style="71" customWidth="1"/>
    <col min="9500" max="9500" width="13.42578125" style="71" customWidth="1"/>
    <col min="9501" max="9501" width="15.5703125" style="71" customWidth="1"/>
    <col min="9502" max="9741" width="9.140625" style="71"/>
    <col min="9742" max="9742" width="18.140625" style="71" customWidth="1"/>
    <col min="9743" max="9743" width="0" style="71" hidden="1" customWidth="1"/>
    <col min="9744" max="9744" width="25.85546875" style="71" customWidth="1"/>
    <col min="9745" max="9745" width="31.5703125" style="71" customWidth="1"/>
    <col min="9746" max="9746" width="13.140625" style="71" bestFit="1" customWidth="1"/>
    <col min="9747" max="9747" width="17.42578125" style="71" customWidth="1"/>
    <col min="9748" max="9748" width="18.42578125" style="71" customWidth="1"/>
    <col min="9749" max="9749" width="11.7109375" style="71" customWidth="1"/>
    <col min="9750" max="9750" width="11.85546875" style="71" customWidth="1"/>
    <col min="9751" max="9751" width="13.42578125" style="71" customWidth="1"/>
    <col min="9752" max="9752" width="13.140625" style="71" bestFit="1" customWidth="1"/>
    <col min="9753" max="9753" width="15" style="71" customWidth="1"/>
    <col min="9754" max="9754" width="15.5703125" style="71" customWidth="1"/>
    <col min="9755" max="9755" width="15.28515625" style="71" customWidth="1"/>
    <col min="9756" max="9756" width="13.42578125" style="71" customWidth="1"/>
    <col min="9757" max="9757" width="15.5703125" style="71" customWidth="1"/>
    <col min="9758" max="9997" width="9.140625" style="71"/>
    <col min="9998" max="9998" width="18.140625" style="71" customWidth="1"/>
    <col min="9999" max="9999" width="0" style="71" hidden="1" customWidth="1"/>
    <col min="10000" max="10000" width="25.85546875" style="71" customWidth="1"/>
    <col min="10001" max="10001" width="31.5703125" style="71" customWidth="1"/>
    <col min="10002" max="10002" width="13.140625" style="71" bestFit="1" customWidth="1"/>
    <col min="10003" max="10003" width="17.42578125" style="71" customWidth="1"/>
    <col min="10004" max="10004" width="18.42578125" style="71" customWidth="1"/>
    <col min="10005" max="10005" width="11.7109375" style="71" customWidth="1"/>
    <col min="10006" max="10006" width="11.85546875" style="71" customWidth="1"/>
    <col min="10007" max="10007" width="13.42578125" style="71" customWidth="1"/>
    <col min="10008" max="10008" width="13.140625" style="71" bestFit="1" customWidth="1"/>
    <col min="10009" max="10009" width="15" style="71" customWidth="1"/>
    <col min="10010" max="10010" width="15.5703125" style="71" customWidth="1"/>
    <col min="10011" max="10011" width="15.28515625" style="71" customWidth="1"/>
    <col min="10012" max="10012" width="13.42578125" style="71" customWidth="1"/>
    <col min="10013" max="10013" width="15.5703125" style="71" customWidth="1"/>
    <col min="10014" max="10253" width="9.140625" style="71"/>
    <col min="10254" max="10254" width="18.140625" style="71" customWidth="1"/>
    <col min="10255" max="10255" width="0" style="71" hidden="1" customWidth="1"/>
    <col min="10256" max="10256" width="25.85546875" style="71" customWidth="1"/>
    <col min="10257" max="10257" width="31.5703125" style="71" customWidth="1"/>
    <col min="10258" max="10258" width="13.140625" style="71" bestFit="1" customWidth="1"/>
    <col min="10259" max="10259" width="17.42578125" style="71" customWidth="1"/>
    <col min="10260" max="10260" width="18.42578125" style="71" customWidth="1"/>
    <col min="10261" max="10261" width="11.7109375" style="71" customWidth="1"/>
    <col min="10262" max="10262" width="11.85546875" style="71" customWidth="1"/>
    <col min="10263" max="10263" width="13.42578125" style="71" customWidth="1"/>
    <col min="10264" max="10264" width="13.140625" style="71" bestFit="1" customWidth="1"/>
    <col min="10265" max="10265" width="15" style="71" customWidth="1"/>
    <col min="10266" max="10266" width="15.5703125" style="71" customWidth="1"/>
    <col min="10267" max="10267" width="15.28515625" style="71" customWidth="1"/>
    <col min="10268" max="10268" width="13.42578125" style="71" customWidth="1"/>
    <col min="10269" max="10269" width="15.5703125" style="71" customWidth="1"/>
    <col min="10270" max="10509" width="9.140625" style="71"/>
    <col min="10510" max="10510" width="18.140625" style="71" customWidth="1"/>
    <col min="10511" max="10511" width="0" style="71" hidden="1" customWidth="1"/>
    <col min="10512" max="10512" width="25.85546875" style="71" customWidth="1"/>
    <col min="10513" max="10513" width="31.5703125" style="71" customWidth="1"/>
    <col min="10514" max="10514" width="13.140625" style="71" bestFit="1" customWidth="1"/>
    <col min="10515" max="10515" width="17.42578125" style="71" customWidth="1"/>
    <col min="10516" max="10516" width="18.42578125" style="71" customWidth="1"/>
    <col min="10517" max="10517" width="11.7109375" style="71" customWidth="1"/>
    <col min="10518" max="10518" width="11.85546875" style="71" customWidth="1"/>
    <col min="10519" max="10519" width="13.42578125" style="71" customWidth="1"/>
    <col min="10520" max="10520" width="13.140625" style="71" bestFit="1" customWidth="1"/>
    <col min="10521" max="10521" width="15" style="71" customWidth="1"/>
    <col min="10522" max="10522" width="15.5703125" style="71" customWidth="1"/>
    <col min="10523" max="10523" width="15.28515625" style="71" customWidth="1"/>
    <col min="10524" max="10524" width="13.42578125" style="71" customWidth="1"/>
    <col min="10525" max="10525" width="15.5703125" style="71" customWidth="1"/>
    <col min="10526" max="10765" width="9.140625" style="71"/>
    <col min="10766" max="10766" width="18.140625" style="71" customWidth="1"/>
    <col min="10767" max="10767" width="0" style="71" hidden="1" customWidth="1"/>
    <col min="10768" max="10768" width="25.85546875" style="71" customWidth="1"/>
    <col min="10769" max="10769" width="31.5703125" style="71" customWidth="1"/>
    <col min="10770" max="10770" width="13.140625" style="71" bestFit="1" customWidth="1"/>
    <col min="10771" max="10771" width="17.42578125" style="71" customWidth="1"/>
    <col min="10772" max="10772" width="18.42578125" style="71" customWidth="1"/>
    <col min="10773" max="10773" width="11.7109375" style="71" customWidth="1"/>
    <col min="10774" max="10774" width="11.85546875" style="71" customWidth="1"/>
    <col min="10775" max="10775" width="13.42578125" style="71" customWidth="1"/>
    <col min="10776" max="10776" width="13.140625" style="71" bestFit="1" customWidth="1"/>
    <col min="10777" max="10777" width="15" style="71" customWidth="1"/>
    <col min="10778" max="10778" width="15.5703125" style="71" customWidth="1"/>
    <col min="10779" max="10779" width="15.28515625" style="71" customWidth="1"/>
    <col min="10780" max="10780" width="13.42578125" style="71" customWidth="1"/>
    <col min="10781" max="10781" width="15.5703125" style="71" customWidth="1"/>
    <col min="10782" max="11021" width="9.140625" style="71"/>
    <col min="11022" max="11022" width="18.140625" style="71" customWidth="1"/>
    <col min="11023" max="11023" width="0" style="71" hidden="1" customWidth="1"/>
    <col min="11024" max="11024" width="25.85546875" style="71" customWidth="1"/>
    <col min="11025" max="11025" width="31.5703125" style="71" customWidth="1"/>
    <col min="11026" max="11026" width="13.140625" style="71" bestFit="1" customWidth="1"/>
    <col min="11027" max="11027" width="17.42578125" style="71" customWidth="1"/>
    <col min="11028" max="11028" width="18.42578125" style="71" customWidth="1"/>
    <col min="11029" max="11029" width="11.7109375" style="71" customWidth="1"/>
    <col min="11030" max="11030" width="11.85546875" style="71" customWidth="1"/>
    <col min="11031" max="11031" width="13.42578125" style="71" customWidth="1"/>
    <col min="11032" max="11032" width="13.140625" style="71" bestFit="1" customWidth="1"/>
    <col min="11033" max="11033" width="15" style="71" customWidth="1"/>
    <col min="11034" max="11034" width="15.5703125" style="71" customWidth="1"/>
    <col min="11035" max="11035" width="15.28515625" style="71" customWidth="1"/>
    <col min="11036" max="11036" width="13.42578125" style="71" customWidth="1"/>
    <col min="11037" max="11037" width="15.5703125" style="71" customWidth="1"/>
    <col min="11038" max="11277" width="9.140625" style="71"/>
    <col min="11278" max="11278" width="18.140625" style="71" customWidth="1"/>
    <col min="11279" max="11279" width="0" style="71" hidden="1" customWidth="1"/>
    <col min="11280" max="11280" width="25.85546875" style="71" customWidth="1"/>
    <col min="11281" max="11281" width="31.5703125" style="71" customWidth="1"/>
    <col min="11282" max="11282" width="13.140625" style="71" bestFit="1" customWidth="1"/>
    <col min="11283" max="11283" width="17.42578125" style="71" customWidth="1"/>
    <col min="11284" max="11284" width="18.42578125" style="71" customWidth="1"/>
    <col min="11285" max="11285" width="11.7109375" style="71" customWidth="1"/>
    <col min="11286" max="11286" width="11.85546875" style="71" customWidth="1"/>
    <col min="11287" max="11287" width="13.42578125" style="71" customWidth="1"/>
    <col min="11288" max="11288" width="13.140625" style="71" bestFit="1" customWidth="1"/>
    <col min="11289" max="11289" width="15" style="71" customWidth="1"/>
    <col min="11290" max="11290" width="15.5703125" style="71" customWidth="1"/>
    <col min="11291" max="11291" width="15.28515625" style="71" customWidth="1"/>
    <col min="11292" max="11292" width="13.42578125" style="71" customWidth="1"/>
    <col min="11293" max="11293" width="15.5703125" style="71" customWidth="1"/>
    <col min="11294" max="11533" width="9.140625" style="71"/>
    <col min="11534" max="11534" width="18.140625" style="71" customWidth="1"/>
    <col min="11535" max="11535" width="0" style="71" hidden="1" customWidth="1"/>
    <col min="11536" max="11536" width="25.85546875" style="71" customWidth="1"/>
    <col min="11537" max="11537" width="31.5703125" style="71" customWidth="1"/>
    <col min="11538" max="11538" width="13.140625" style="71" bestFit="1" customWidth="1"/>
    <col min="11539" max="11539" width="17.42578125" style="71" customWidth="1"/>
    <col min="11540" max="11540" width="18.42578125" style="71" customWidth="1"/>
    <col min="11541" max="11541" width="11.7109375" style="71" customWidth="1"/>
    <col min="11542" max="11542" width="11.85546875" style="71" customWidth="1"/>
    <col min="11543" max="11543" width="13.42578125" style="71" customWidth="1"/>
    <col min="11544" max="11544" width="13.140625" style="71" bestFit="1" customWidth="1"/>
    <col min="11545" max="11545" width="15" style="71" customWidth="1"/>
    <col min="11546" max="11546" width="15.5703125" style="71" customWidth="1"/>
    <col min="11547" max="11547" width="15.28515625" style="71" customWidth="1"/>
    <col min="11548" max="11548" width="13.42578125" style="71" customWidth="1"/>
    <col min="11549" max="11549" width="15.5703125" style="71" customWidth="1"/>
    <col min="11550" max="11789" width="9.140625" style="71"/>
    <col min="11790" max="11790" width="18.140625" style="71" customWidth="1"/>
    <col min="11791" max="11791" width="0" style="71" hidden="1" customWidth="1"/>
    <col min="11792" max="11792" width="25.85546875" style="71" customWidth="1"/>
    <col min="11793" max="11793" width="31.5703125" style="71" customWidth="1"/>
    <col min="11794" max="11794" width="13.140625" style="71" bestFit="1" customWidth="1"/>
    <col min="11795" max="11795" width="17.42578125" style="71" customWidth="1"/>
    <col min="11796" max="11796" width="18.42578125" style="71" customWidth="1"/>
    <col min="11797" max="11797" width="11.7109375" style="71" customWidth="1"/>
    <col min="11798" max="11798" width="11.85546875" style="71" customWidth="1"/>
    <col min="11799" max="11799" width="13.42578125" style="71" customWidth="1"/>
    <col min="11800" max="11800" width="13.140625" style="71" bestFit="1" customWidth="1"/>
    <col min="11801" max="11801" width="15" style="71" customWidth="1"/>
    <col min="11802" max="11802" width="15.5703125" style="71" customWidth="1"/>
    <col min="11803" max="11803" width="15.28515625" style="71" customWidth="1"/>
    <col min="11804" max="11804" width="13.42578125" style="71" customWidth="1"/>
    <col min="11805" max="11805" width="15.5703125" style="71" customWidth="1"/>
    <col min="11806" max="12045" width="9.140625" style="71"/>
    <col min="12046" max="12046" width="18.140625" style="71" customWidth="1"/>
    <col min="12047" max="12047" width="0" style="71" hidden="1" customWidth="1"/>
    <col min="12048" max="12048" width="25.85546875" style="71" customWidth="1"/>
    <col min="12049" max="12049" width="31.5703125" style="71" customWidth="1"/>
    <col min="12050" max="12050" width="13.140625" style="71" bestFit="1" customWidth="1"/>
    <col min="12051" max="12051" width="17.42578125" style="71" customWidth="1"/>
    <col min="12052" max="12052" width="18.42578125" style="71" customWidth="1"/>
    <col min="12053" max="12053" width="11.7109375" style="71" customWidth="1"/>
    <col min="12054" max="12054" width="11.85546875" style="71" customWidth="1"/>
    <col min="12055" max="12055" width="13.42578125" style="71" customWidth="1"/>
    <col min="12056" max="12056" width="13.140625" style="71" bestFit="1" customWidth="1"/>
    <col min="12057" max="12057" width="15" style="71" customWidth="1"/>
    <col min="12058" max="12058" width="15.5703125" style="71" customWidth="1"/>
    <col min="12059" max="12059" width="15.28515625" style="71" customWidth="1"/>
    <col min="12060" max="12060" width="13.42578125" style="71" customWidth="1"/>
    <col min="12061" max="12061" width="15.5703125" style="71" customWidth="1"/>
    <col min="12062" max="12301" width="9.140625" style="71"/>
    <col min="12302" max="12302" width="18.140625" style="71" customWidth="1"/>
    <col min="12303" max="12303" width="0" style="71" hidden="1" customWidth="1"/>
    <col min="12304" max="12304" width="25.85546875" style="71" customWidth="1"/>
    <col min="12305" max="12305" width="31.5703125" style="71" customWidth="1"/>
    <col min="12306" max="12306" width="13.140625" style="71" bestFit="1" customWidth="1"/>
    <col min="12307" max="12307" width="17.42578125" style="71" customWidth="1"/>
    <col min="12308" max="12308" width="18.42578125" style="71" customWidth="1"/>
    <col min="12309" max="12309" width="11.7109375" style="71" customWidth="1"/>
    <col min="12310" max="12310" width="11.85546875" style="71" customWidth="1"/>
    <col min="12311" max="12311" width="13.42578125" style="71" customWidth="1"/>
    <col min="12312" max="12312" width="13.140625" style="71" bestFit="1" customWidth="1"/>
    <col min="12313" max="12313" width="15" style="71" customWidth="1"/>
    <col min="12314" max="12314" width="15.5703125" style="71" customWidth="1"/>
    <col min="12315" max="12315" width="15.28515625" style="71" customWidth="1"/>
    <col min="12316" max="12316" width="13.42578125" style="71" customWidth="1"/>
    <col min="12317" max="12317" width="15.5703125" style="71" customWidth="1"/>
    <col min="12318" max="12557" width="9.140625" style="71"/>
    <col min="12558" max="12558" width="18.140625" style="71" customWidth="1"/>
    <col min="12559" max="12559" width="0" style="71" hidden="1" customWidth="1"/>
    <col min="12560" max="12560" width="25.85546875" style="71" customWidth="1"/>
    <col min="12561" max="12561" width="31.5703125" style="71" customWidth="1"/>
    <col min="12562" max="12562" width="13.140625" style="71" bestFit="1" customWidth="1"/>
    <col min="12563" max="12563" width="17.42578125" style="71" customWidth="1"/>
    <col min="12564" max="12564" width="18.42578125" style="71" customWidth="1"/>
    <col min="12565" max="12565" width="11.7109375" style="71" customWidth="1"/>
    <col min="12566" max="12566" width="11.85546875" style="71" customWidth="1"/>
    <col min="12567" max="12567" width="13.42578125" style="71" customWidth="1"/>
    <col min="12568" max="12568" width="13.140625" style="71" bestFit="1" customWidth="1"/>
    <col min="12569" max="12569" width="15" style="71" customWidth="1"/>
    <col min="12570" max="12570" width="15.5703125" style="71" customWidth="1"/>
    <col min="12571" max="12571" width="15.28515625" style="71" customWidth="1"/>
    <col min="12572" max="12572" width="13.42578125" style="71" customWidth="1"/>
    <col min="12573" max="12573" width="15.5703125" style="71" customWidth="1"/>
    <col min="12574" max="12813" width="9.140625" style="71"/>
    <col min="12814" max="12814" width="18.140625" style="71" customWidth="1"/>
    <col min="12815" max="12815" width="0" style="71" hidden="1" customWidth="1"/>
    <col min="12816" max="12816" width="25.85546875" style="71" customWidth="1"/>
    <col min="12817" max="12817" width="31.5703125" style="71" customWidth="1"/>
    <col min="12818" max="12818" width="13.140625" style="71" bestFit="1" customWidth="1"/>
    <col min="12819" max="12819" width="17.42578125" style="71" customWidth="1"/>
    <col min="12820" max="12820" width="18.42578125" style="71" customWidth="1"/>
    <col min="12821" max="12821" width="11.7109375" style="71" customWidth="1"/>
    <col min="12822" max="12822" width="11.85546875" style="71" customWidth="1"/>
    <col min="12823" max="12823" width="13.42578125" style="71" customWidth="1"/>
    <col min="12824" max="12824" width="13.140625" style="71" bestFit="1" customWidth="1"/>
    <col min="12825" max="12825" width="15" style="71" customWidth="1"/>
    <col min="12826" max="12826" width="15.5703125" style="71" customWidth="1"/>
    <col min="12827" max="12827" width="15.28515625" style="71" customWidth="1"/>
    <col min="12828" max="12828" width="13.42578125" style="71" customWidth="1"/>
    <col min="12829" max="12829" width="15.5703125" style="71" customWidth="1"/>
    <col min="12830" max="13069" width="9.140625" style="71"/>
    <col min="13070" max="13070" width="18.140625" style="71" customWidth="1"/>
    <col min="13071" max="13071" width="0" style="71" hidden="1" customWidth="1"/>
    <col min="13072" max="13072" width="25.85546875" style="71" customWidth="1"/>
    <col min="13073" max="13073" width="31.5703125" style="71" customWidth="1"/>
    <col min="13074" max="13074" width="13.140625" style="71" bestFit="1" customWidth="1"/>
    <col min="13075" max="13075" width="17.42578125" style="71" customWidth="1"/>
    <col min="13076" max="13076" width="18.42578125" style="71" customWidth="1"/>
    <col min="13077" max="13077" width="11.7109375" style="71" customWidth="1"/>
    <col min="13078" max="13078" width="11.85546875" style="71" customWidth="1"/>
    <col min="13079" max="13079" width="13.42578125" style="71" customWidth="1"/>
    <col min="13080" max="13080" width="13.140625" style="71" bestFit="1" customWidth="1"/>
    <col min="13081" max="13081" width="15" style="71" customWidth="1"/>
    <col min="13082" max="13082" width="15.5703125" style="71" customWidth="1"/>
    <col min="13083" max="13083" width="15.28515625" style="71" customWidth="1"/>
    <col min="13084" max="13084" width="13.42578125" style="71" customWidth="1"/>
    <col min="13085" max="13085" width="15.5703125" style="71" customWidth="1"/>
    <col min="13086" max="13325" width="9.140625" style="71"/>
    <col min="13326" max="13326" width="18.140625" style="71" customWidth="1"/>
    <col min="13327" max="13327" width="0" style="71" hidden="1" customWidth="1"/>
    <col min="13328" max="13328" width="25.85546875" style="71" customWidth="1"/>
    <col min="13329" max="13329" width="31.5703125" style="71" customWidth="1"/>
    <col min="13330" max="13330" width="13.140625" style="71" bestFit="1" customWidth="1"/>
    <col min="13331" max="13331" width="17.42578125" style="71" customWidth="1"/>
    <col min="13332" max="13332" width="18.42578125" style="71" customWidth="1"/>
    <col min="13333" max="13333" width="11.7109375" style="71" customWidth="1"/>
    <col min="13334" max="13334" width="11.85546875" style="71" customWidth="1"/>
    <col min="13335" max="13335" width="13.42578125" style="71" customWidth="1"/>
    <col min="13336" max="13336" width="13.140625" style="71" bestFit="1" customWidth="1"/>
    <col min="13337" max="13337" width="15" style="71" customWidth="1"/>
    <col min="13338" max="13338" width="15.5703125" style="71" customWidth="1"/>
    <col min="13339" max="13339" width="15.28515625" style="71" customWidth="1"/>
    <col min="13340" max="13340" width="13.42578125" style="71" customWidth="1"/>
    <col min="13341" max="13341" width="15.5703125" style="71" customWidth="1"/>
    <col min="13342" max="13581" width="9.140625" style="71"/>
    <col min="13582" max="13582" width="18.140625" style="71" customWidth="1"/>
    <col min="13583" max="13583" width="0" style="71" hidden="1" customWidth="1"/>
    <col min="13584" max="13584" width="25.85546875" style="71" customWidth="1"/>
    <col min="13585" max="13585" width="31.5703125" style="71" customWidth="1"/>
    <col min="13586" max="13586" width="13.140625" style="71" bestFit="1" customWidth="1"/>
    <col min="13587" max="13587" width="17.42578125" style="71" customWidth="1"/>
    <col min="13588" max="13588" width="18.42578125" style="71" customWidth="1"/>
    <col min="13589" max="13589" width="11.7109375" style="71" customWidth="1"/>
    <col min="13590" max="13590" width="11.85546875" style="71" customWidth="1"/>
    <col min="13591" max="13591" width="13.42578125" style="71" customWidth="1"/>
    <col min="13592" max="13592" width="13.140625" style="71" bestFit="1" customWidth="1"/>
    <col min="13593" max="13593" width="15" style="71" customWidth="1"/>
    <col min="13594" max="13594" width="15.5703125" style="71" customWidth="1"/>
    <col min="13595" max="13595" width="15.28515625" style="71" customWidth="1"/>
    <col min="13596" max="13596" width="13.42578125" style="71" customWidth="1"/>
    <col min="13597" max="13597" width="15.5703125" style="71" customWidth="1"/>
    <col min="13598" max="13837" width="9.140625" style="71"/>
    <col min="13838" max="13838" width="18.140625" style="71" customWidth="1"/>
    <col min="13839" max="13839" width="0" style="71" hidden="1" customWidth="1"/>
    <col min="13840" max="13840" width="25.85546875" style="71" customWidth="1"/>
    <col min="13841" max="13841" width="31.5703125" style="71" customWidth="1"/>
    <col min="13842" max="13842" width="13.140625" style="71" bestFit="1" customWidth="1"/>
    <col min="13843" max="13843" width="17.42578125" style="71" customWidth="1"/>
    <col min="13844" max="13844" width="18.42578125" style="71" customWidth="1"/>
    <col min="13845" max="13845" width="11.7109375" style="71" customWidth="1"/>
    <col min="13846" max="13846" width="11.85546875" style="71" customWidth="1"/>
    <col min="13847" max="13847" width="13.42578125" style="71" customWidth="1"/>
    <col min="13848" max="13848" width="13.140625" style="71" bestFit="1" customWidth="1"/>
    <col min="13849" max="13849" width="15" style="71" customWidth="1"/>
    <col min="13850" max="13850" width="15.5703125" style="71" customWidth="1"/>
    <col min="13851" max="13851" width="15.28515625" style="71" customWidth="1"/>
    <col min="13852" max="13852" width="13.42578125" style="71" customWidth="1"/>
    <col min="13853" max="13853" width="15.5703125" style="71" customWidth="1"/>
    <col min="13854" max="14093" width="9.140625" style="71"/>
    <col min="14094" max="14094" width="18.140625" style="71" customWidth="1"/>
    <col min="14095" max="14095" width="0" style="71" hidden="1" customWidth="1"/>
    <col min="14096" max="14096" width="25.85546875" style="71" customWidth="1"/>
    <col min="14097" max="14097" width="31.5703125" style="71" customWidth="1"/>
    <col min="14098" max="14098" width="13.140625" style="71" bestFit="1" customWidth="1"/>
    <col min="14099" max="14099" width="17.42578125" style="71" customWidth="1"/>
    <col min="14100" max="14100" width="18.42578125" style="71" customWidth="1"/>
    <col min="14101" max="14101" width="11.7109375" style="71" customWidth="1"/>
    <col min="14102" max="14102" width="11.85546875" style="71" customWidth="1"/>
    <col min="14103" max="14103" width="13.42578125" style="71" customWidth="1"/>
    <col min="14104" max="14104" width="13.140625" style="71" bestFit="1" customWidth="1"/>
    <col min="14105" max="14105" width="15" style="71" customWidth="1"/>
    <col min="14106" max="14106" width="15.5703125" style="71" customWidth="1"/>
    <col min="14107" max="14107" width="15.28515625" style="71" customWidth="1"/>
    <col min="14108" max="14108" width="13.42578125" style="71" customWidth="1"/>
    <col min="14109" max="14109" width="15.5703125" style="71" customWidth="1"/>
    <col min="14110" max="14349" width="9.140625" style="71"/>
    <col min="14350" max="14350" width="18.140625" style="71" customWidth="1"/>
    <col min="14351" max="14351" width="0" style="71" hidden="1" customWidth="1"/>
    <col min="14352" max="14352" width="25.85546875" style="71" customWidth="1"/>
    <col min="14353" max="14353" width="31.5703125" style="71" customWidth="1"/>
    <col min="14354" max="14354" width="13.140625" style="71" bestFit="1" customWidth="1"/>
    <col min="14355" max="14355" width="17.42578125" style="71" customWidth="1"/>
    <col min="14356" max="14356" width="18.42578125" style="71" customWidth="1"/>
    <col min="14357" max="14357" width="11.7109375" style="71" customWidth="1"/>
    <col min="14358" max="14358" width="11.85546875" style="71" customWidth="1"/>
    <col min="14359" max="14359" width="13.42578125" style="71" customWidth="1"/>
    <col min="14360" max="14360" width="13.140625" style="71" bestFit="1" customWidth="1"/>
    <col min="14361" max="14361" width="15" style="71" customWidth="1"/>
    <col min="14362" max="14362" width="15.5703125" style="71" customWidth="1"/>
    <col min="14363" max="14363" width="15.28515625" style="71" customWidth="1"/>
    <col min="14364" max="14364" width="13.42578125" style="71" customWidth="1"/>
    <col min="14365" max="14365" width="15.5703125" style="71" customWidth="1"/>
    <col min="14366" max="14605" width="9.140625" style="71"/>
    <col min="14606" max="14606" width="18.140625" style="71" customWidth="1"/>
    <col min="14607" max="14607" width="0" style="71" hidden="1" customWidth="1"/>
    <col min="14608" max="14608" width="25.85546875" style="71" customWidth="1"/>
    <col min="14609" max="14609" width="31.5703125" style="71" customWidth="1"/>
    <col min="14610" max="14610" width="13.140625" style="71" bestFit="1" customWidth="1"/>
    <col min="14611" max="14611" width="17.42578125" style="71" customWidth="1"/>
    <col min="14612" max="14612" width="18.42578125" style="71" customWidth="1"/>
    <col min="14613" max="14613" width="11.7109375" style="71" customWidth="1"/>
    <col min="14614" max="14614" width="11.85546875" style="71" customWidth="1"/>
    <col min="14615" max="14615" width="13.42578125" style="71" customWidth="1"/>
    <col min="14616" max="14616" width="13.140625" style="71" bestFit="1" customWidth="1"/>
    <col min="14617" max="14617" width="15" style="71" customWidth="1"/>
    <col min="14618" max="14618" width="15.5703125" style="71" customWidth="1"/>
    <col min="14619" max="14619" width="15.28515625" style="71" customWidth="1"/>
    <col min="14620" max="14620" width="13.42578125" style="71" customWidth="1"/>
    <col min="14621" max="14621" width="15.5703125" style="71" customWidth="1"/>
    <col min="14622" max="14861" width="9.140625" style="71"/>
    <col min="14862" max="14862" width="18.140625" style="71" customWidth="1"/>
    <col min="14863" max="14863" width="0" style="71" hidden="1" customWidth="1"/>
    <col min="14864" max="14864" width="25.85546875" style="71" customWidth="1"/>
    <col min="14865" max="14865" width="31.5703125" style="71" customWidth="1"/>
    <col min="14866" max="14866" width="13.140625" style="71" bestFit="1" customWidth="1"/>
    <col min="14867" max="14867" width="17.42578125" style="71" customWidth="1"/>
    <col min="14868" max="14868" width="18.42578125" style="71" customWidth="1"/>
    <col min="14869" max="14869" width="11.7109375" style="71" customWidth="1"/>
    <col min="14870" max="14870" width="11.85546875" style="71" customWidth="1"/>
    <col min="14871" max="14871" width="13.42578125" style="71" customWidth="1"/>
    <col min="14872" max="14872" width="13.140625" style="71" bestFit="1" customWidth="1"/>
    <col min="14873" max="14873" width="15" style="71" customWidth="1"/>
    <col min="14874" max="14874" width="15.5703125" style="71" customWidth="1"/>
    <col min="14875" max="14875" width="15.28515625" style="71" customWidth="1"/>
    <col min="14876" max="14876" width="13.42578125" style="71" customWidth="1"/>
    <col min="14877" max="14877" width="15.5703125" style="71" customWidth="1"/>
    <col min="14878" max="15117" width="9.140625" style="71"/>
    <col min="15118" max="15118" width="18.140625" style="71" customWidth="1"/>
    <col min="15119" max="15119" width="0" style="71" hidden="1" customWidth="1"/>
    <col min="15120" max="15120" width="25.85546875" style="71" customWidth="1"/>
    <col min="15121" max="15121" width="31.5703125" style="71" customWidth="1"/>
    <col min="15122" max="15122" width="13.140625" style="71" bestFit="1" customWidth="1"/>
    <col min="15123" max="15123" width="17.42578125" style="71" customWidth="1"/>
    <col min="15124" max="15124" width="18.42578125" style="71" customWidth="1"/>
    <col min="15125" max="15125" width="11.7109375" style="71" customWidth="1"/>
    <col min="15126" max="15126" width="11.85546875" style="71" customWidth="1"/>
    <col min="15127" max="15127" width="13.42578125" style="71" customWidth="1"/>
    <col min="15128" max="15128" width="13.140625" style="71" bestFit="1" customWidth="1"/>
    <col min="15129" max="15129" width="15" style="71" customWidth="1"/>
    <col min="15130" max="15130" width="15.5703125" style="71" customWidth="1"/>
    <col min="15131" max="15131" width="15.28515625" style="71" customWidth="1"/>
    <col min="15132" max="15132" width="13.42578125" style="71" customWidth="1"/>
    <col min="15133" max="15133" width="15.5703125" style="71" customWidth="1"/>
    <col min="15134" max="15373" width="9.140625" style="71"/>
    <col min="15374" max="15374" width="18.140625" style="71" customWidth="1"/>
    <col min="15375" max="15375" width="0" style="71" hidden="1" customWidth="1"/>
    <col min="15376" max="15376" width="25.85546875" style="71" customWidth="1"/>
    <col min="15377" max="15377" width="31.5703125" style="71" customWidth="1"/>
    <col min="15378" max="15378" width="13.140625" style="71" bestFit="1" customWidth="1"/>
    <col min="15379" max="15379" width="17.42578125" style="71" customWidth="1"/>
    <col min="15380" max="15380" width="18.42578125" style="71" customWidth="1"/>
    <col min="15381" max="15381" width="11.7109375" style="71" customWidth="1"/>
    <col min="15382" max="15382" width="11.85546875" style="71" customWidth="1"/>
    <col min="15383" max="15383" width="13.42578125" style="71" customWidth="1"/>
    <col min="15384" max="15384" width="13.140625" style="71" bestFit="1" customWidth="1"/>
    <col min="15385" max="15385" width="15" style="71" customWidth="1"/>
    <col min="15386" max="15386" width="15.5703125" style="71" customWidth="1"/>
    <col min="15387" max="15387" width="15.28515625" style="71" customWidth="1"/>
    <col min="15388" max="15388" width="13.42578125" style="71" customWidth="1"/>
    <col min="15389" max="15389" width="15.5703125" style="71" customWidth="1"/>
    <col min="15390" max="15629" width="9.140625" style="71"/>
    <col min="15630" max="15630" width="18.140625" style="71" customWidth="1"/>
    <col min="15631" max="15631" width="0" style="71" hidden="1" customWidth="1"/>
    <col min="15632" max="15632" width="25.85546875" style="71" customWidth="1"/>
    <col min="15633" max="15633" width="31.5703125" style="71" customWidth="1"/>
    <col min="15634" max="15634" width="13.140625" style="71" bestFit="1" customWidth="1"/>
    <col min="15635" max="15635" width="17.42578125" style="71" customWidth="1"/>
    <col min="15636" max="15636" width="18.42578125" style="71" customWidth="1"/>
    <col min="15637" max="15637" width="11.7109375" style="71" customWidth="1"/>
    <col min="15638" max="15638" width="11.85546875" style="71" customWidth="1"/>
    <col min="15639" max="15639" width="13.42578125" style="71" customWidth="1"/>
    <col min="15640" max="15640" width="13.140625" style="71" bestFit="1" customWidth="1"/>
    <col min="15641" max="15641" width="15" style="71" customWidth="1"/>
    <col min="15642" max="15642" width="15.5703125" style="71" customWidth="1"/>
    <col min="15643" max="15643" width="15.28515625" style="71" customWidth="1"/>
    <col min="15644" max="15644" width="13.42578125" style="71" customWidth="1"/>
    <col min="15645" max="15645" width="15.5703125" style="71" customWidth="1"/>
    <col min="15646" max="15885" width="9.140625" style="71"/>
    <col min="15886" max="15886" width="18.140625" style="71" customWidth="1"/>
    <col min="15887" max="15887" width="0" style="71" hidden="1" customWidth="1"/>
    <col min="15888" max="15888" width="25.85546875" style="71" customWidth="1"/>
    <col min="15889" max="15889" width="31.5703125" style="71" customWidth="1"/>
    <col min="15890" max="15890" width="13.140625" style="71" bestFit="1" customWidth="1"/>
    <col min="15891" max="15891" width="17.42578125" style="71" customWidth="1"/>
    <col min="15892" max="15892" width="18.42578125" style="71" customWidth="1"/>
    <col min="15893" max="15893" width="11.7109375" style="71" customWidth="1"/>
    <col min="15894" max="15894" width="11.85546875" style="71" customWidth="1"/>
    <col min="15895" max="15895" width="13.42578125" style="71" customWidth="1"/>
    <col min="15896" max="15896" width="13.140625" style="71" bestFit="1" customWidth="1"/>
    <col min="15897" max="15897" width="15" style="71" customWidth="1"/>
    <col min="15898" max="15898" width="15.5703125" style="71" customWidth="1"/>
    <col min="15899" max="15899" width="15.28515625" style="71" customWidth="1"/>
    <col min="15900" max="15900" width="13.42578125" style="71" customWidth="1"/>
    <col min="15901" max="15901" width="15.5703125" style="71" customWidth="1"/>
    <col min="15902" max="16141" width="9.140625" style="71"/>
    <col min="16142" max="16142" width="18.140625" style="71" customWidth="1"/>
    <col min="16143" max="16143" width="0" style="71" hidden="1" customWidth="1"/>
    <col min="16144" max="16144" width="25.85546875" style="71" customWidth="1"/>
    <col min="16145" max="16145" width="31.5703125" style="71" customWidth="1"/>
    <col min="16146" max="16146" width="13.140625" style="71" bestFit="1" customWidth="1"/>
    <col min="16147" max="16147" width="17.42578125" style="71" customWidth="1"/>
    <col min="16148" max="16148" width="18.42578125" style="71" customWidth="1"/>
    <col min="16149" max="16149" width="11.7109375" style="71" customWidth="1"/>
    <col min="16150" max="16150" width="11.85546875" style="71" customWidth="1"/>
    <col min="16151" max="16151" width="13.42578125" style="71" customWidth="1"/>
    <col min="16152" max="16152" width="13.140625" style="71" bestFit="1" customWidth="1"/>
    <col min="16153" max="16153" width="15" style="71" customWidth="1"/>
    <col min="16154" max="16154" width="15.5703125" style="71" customWidth="1"/>
    <col min="16155" max="16155" width="15.28515625" style="71" customWidth="1"/>
    <col min="16156" max="16156" width="13.42578125" style="71" customWidth="1"/>
    <col min="16157" max="16157" width="15.5703125" style="71" customWidth="1"/>
    <col min="16158" max="16383" width="9.140625" style="71"/>
    <col min="16384" max="16384" width="9.140625" style="71" customWidth="1"/>
  </cols>
  <sheetData>
    <row r="1" spans="1:38" s="83" customFormat="1" ht="26.25" customHeight="1">
      <c r="B1" s="188" t="s">
        <v>105</v>
      </c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</row>
    <row r="2" spans="1:38" s="83" customFormat="1" ht="26.25" customHeight="1">
      <c r="B2" s="196" t="s">
        <v>121</v>
      </c>
      <c r="C2" s="197"/>
      <c r="D2" s="85">
        <v>2023</v>
      </c>
      <c r="E2" s="85">
        <v>2024</v>
      </c>
      <c r="F2" s="86">
        <v>2025</v>
      </c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</row>
    <row r="3" spans="1:38" s="83" customFormat="1" ht="21.75" customHeight="1">
      <c r="B3" s="198"/>
      <c r="C3" s="199"/>
      <c r="D3" s="88">
        <f>G8+M8+R8+X8</f>
        <v>24442</v>
      </c>
      <c r="E3" s="88">
        <f>H8+N8+S8+Y8</f>
        <v>25823</v>
      </c>
      <c r="F3" s="88">
        <f>I8+O8+T8+Z8</f>
        <v>38416</v>
      </c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</row>
    <row r="4" spans="1:38" s="83" customFormat="1" ht="20.45" customHeight="1">
      <c r="A4" s="187" t="s">
        <v>106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</row>
    <row r="6" spans="1:38" ht="45.4" customHeight="1">
      <c r="B6" s="193" t="s">
        <v>107</v>
      </c>
      <c r="C6" s="194" t="s">
        <v>108</v>
      </c>
      <c r="D6" s="194" t="s">
        <v>108</v>
      </c>
      <c r="E6" s="194" t="s">
        <v>108</v>
      </c>
      <c r="F6" s="194" t="s">
        <v>108</v>
      </c>
      <c r="G6" s="195"/>
      <c r="H6" s="195"/>
      <c r="I6" s="195"/>
      <c r="J6" s="194" t="s">
        <v>108</v>
      </c>
      <c r="K6" s="194" t="s">
        <v>108</v>
      </c>
      <c r="L6" s="194" t="s">
        <v>108</v>
      </c>
      <c r="M6" s="200"/>
      <c r="N6" s="200"/>
      <c r="O6" s="200"/>
      <c r="P6" s="194" t="s">
        <v>108</v>
      </c>
      <c r="Q6" s="194" t="s">
        <v>108</v>
      </c>
      <c r="R6" s="205"/>
      <c r="S6" s="205"/>
      <c r="T6" s="205"/>
      <c r="U6" s="194" t="s">
        <v>108</v>
      </c>
      <c r="V6" s="194" t="s">
        <v>108</v>
      </c>
      <c r="W6" s="194" t="s">
        <v>108</v>
      </c>
      <c r="X6" s="200"/>
      <c r="Y6" s="200"/>
      <c r="Z6" s="200"/>
    </row>
    <row r="7" spans="1:38">
      <c r="B7" s="193"/>
      <c r="C7" s="194"/>
      <c r="D7" s="194"/>
      <c r="E7" s="194"/>
      <c r="F7" s="194"/>
      <c r="G7" s="85">
        <v>2023</v>
      </c>
      <c r="H7" s="85">
        <v>2024</v>
      </c>
      <c r="I7" s="86">
        <v>2025</v>
      </c>
      <c r="J7" s="194"/>
      <c r="K7" s="194"/>
      <c r="L7" s="194"/>
      <c r="M7" s="85">
        <v>2023</v>
      </c>
      <c r="N7" s="85">
        <v>2024</v>
      </c>
      <c r="O7" s="86">
        <v>2025</v>
      </c>
      <c r="P7" s="194"/>
      <c r="Q7" s="194"/>
      <c r="R7" s="85">
        <v>2023</v>
      </c>
      <c r="S7" s="85">
        <v>2024</v>
      </c>
      <c r="T7" s="86">
        <v>2025</v>
      </c>
      <c r="U7" s="194"/>
      <c r="V7" s="194"/>
      <c r="W7" s="194"/>
      <c r="X7" s="85">
        <v>2023</v>
      </c>
      <c r="Y7" s="85">
        <v>2024</v>
      </c>
      <c r="Z7" s="86">
        <v>2025</v>
      </c>
    </row>
    <row r="8" spans="1:38" ht="54.75" customHeight="1">
      <c r="B8" s="193"/>
      <c r="C8" s="194"/>
      <c r="D8" s="194"/>
      <c r="E8" s="194"/>
      <c r="F8" s="194"/>
      <c r="G8" s="88">
        <v>11194</v>
      </c>
      <c r="H8" s="88">
        <v>11640</v>
      </c>
      <c r="I8" s="88">
        <v>12078</v>
      </c>
      <c r="J8" s="194"/>
      <c r="K8" s="194"/>
      <c r="L8" s="194"/>
      <c r="M8" s="88">
        <v>1414</v>
      </c>
      <c r="N8" s="88">
        <v>1414</v>
      </c>
      <c r="O8" s="88">
        <v>1414</v>
      </c>
      <c r="P8" s="194"/>
      <c r="Q8" s="194"/>
      <c r="R8" s="88">
        <v>4464</v>
      </c>
      <c r="S8" s="88">
        <v>5399</v>
      </c>
      <c r="T8" s="88">
        <v>17554</v>
      </c>
      <c r="U8" s="194"/>
      <c r="V8" s="194"/>
      <c r="W8" s="194"/>
      <c r="X8" s="88">
        <v>7370</v>
      </c>
      <c r="Y8" s="88">
        <v>7370</v>
      </c>
      <c r="Z8" s="88">
        <v>7370</v>
      </c>
    </row>
    <row r="9" spans="1:38" ht="18.75">
      <c r="Q9" s="95"/>
    </row>
    <row r="10" spans="1:38" ht="19.5" thickBot="1">
      <c r="Q10" s="95"/>
    </row>
    <row r="11" spans="1:38" s="92" customFormat="1" ht="102">
      <c r="A11" s="201" t="s">
        <v>109</v>
      </c>
      <c r="B11" s="201" t="s">
        <v>110</v>
      </c>
      <c r="C11" s="96" t="s">
        <v>111</v>
      </c>
      <c r="D11" s="202" t="s">
        <v>112</v>
      </c>
      <c r="E11" s="203"/>
      <c r="F11" s="203"/>
      <c r="G11" s="203"/>
      <c r="H11" s="203"/>
      <c r="I11" s="204"/>
      <c r="J11" s="202" t="s">
        <v>113</v>
      </c>
      <c r="K11" s="203"/>
      <c r="L11" s="203"/>
      <c r="M11" s="203"/>
      <c r="N11" s="203"/>
      <c r="O11" s="204"/>
      <c r="P11" s="202" t="s">
        <v>114</v>
      </c>
      <c r="Q11" s="203"/>
      <c r="R11" s="203"/>
      <c r="S11" s="203"/>
      <c r="T11" s="204"/>
      <c r="U11" s="202" t="s">
        <v>115</v>
      </c>
      <c r="V11" s="203"/>
      <c r="W11" s="203"/>
      <c r="X11" s="203"/>
      <c r="Y11" s="203"/>
      <c r="Z11" s="204"/>
      <c r="AA11" s="207" t="s">
        <v>116</v>
      </c>
      <c r="AB11" s="207"/>
      <c r="AC11" s="208"/>
      <c r="AD11" s="206" t="s">
        <v>117</v>
      </c>
      <c r="AE11" s="207"/>
      <c r="AF11" s="208"/>
      <c r="AG11" s="212" t="s">
        <v>118</v>
      </c>
      <c r="AH11" s="212"/>
      <c r="AI11" s="212"/>
      <c r="AJ11" s="189" t="s">
        <v>138</v>
      </c>
      <c r="AK11" s="189" t="s">
        <v>139</v>
      </c>
      <c r="AL11" s="191" t="s">
        <v>140</v>
      </c>
    </row>
    <row r="12" spans="1:38" s="92" customFormat="1" ht="28.5" customHeight="1">
      <c r="A12" s="201"/>
      <c r="B12" s="201"/>
      <c r="C12" s="97" t="s">
        <v>119</v>
      </c>
      <c r="D12" s="98"/>
      <c r="E12" s="99"/>
      <c r="F12" s="99"/>
      <c r="G12" s="213"/>
      <c r="H12" s="214"/>
      <c r="I12" s="215"/>
      <c r="J12" s="98"/>
      <c r="K12" s="99"/>
      <c r="L12" s="99"/>
      <c r="M12" s="213"/>
      <c r="N12" s="214"/>
      <c r="O12" s="215"/>
      <c r="P12" s="216"/>
      <c r="Q12" s="214"/>
      <c r="R12" s="100"/>
      <c r="S12" s="100"/>
      <c r="T12" s="101"/>
      <c r="U12" s="98"/>
      <c r="V12" s="99"/>
      <c r="W12" s="99"/>
      <c r="X12" s="213"/>
      <c r="Y12" s="214"/>
      <c r="Z12" s="215"/>
      <c r="AA12" s="210"/>
      <c r="AB12" s="210"/>
      <c r="AC12" s="211"/>
      <c r="AD12" s="209"/>
      <c r="AE12" s="210"/>
      <c r="AF12" s="211"/>
      <c r="AG12" s="212"/>
      <c r="AH12" s="212"/>
      <c r="AI12" s="212"/>
      <c r="AJ12" s="190"/>
      <c r="AK12" s="190"/>
      <c r="AL12" s="192"/>
    </row>
    <row r="13" spans="1:38" ht="63.75">
      <c r="A13" s="201"/>
      <c r="B13" s="201"/>
      <c r="C13" s="97" t="s">
        <v>179</v>
      </c>
      <c r="D13" s="102" t="s">
        <v>176</v>
      </c>
      <c r="E13" s="103" t="s">
        <v>180</v>
      </c>
      <c r="F13" s="104" t="s">
        <v>181</v>
      </c>
      <c r="G13" s="85">
        <v>2023</v>
      </c>
      <c r="H13" s="85">
        <v>2024</v>
      </c>
      <c r="I13" s="86">
        <v>2025</v>
      </c>
      <c r="J13" s="102" t="s">
        <v>176</v>
      </c>
      <c r="K13" s="103" t="s">
        <v>180</v>
      </c>
      <c r="L13" s="104" t="s">
        <v>181</v>
      </c>
      <c r="M13" s="85">
        <v>2023</v>
      </c>
      <c r="N13" s="85">
        <v>2024</v>
      </c>
      <c r="O13" s="86">
        <v>2025</v>
      </c>
      <c r="P13" s="102" t="s">
        <v>176</v>
      </c>
      <c r="Q13" s="103" t="s">
        <v>180</v>
      </c>
      <c r="R13" s="85">
        <v>2023</v>
      </c>
      <c r="S13" s="85">
        <v>2024</v>
      </c>
      <c r="T13" s="86">
        <v>2025</v>
      </c>
      <c r="U13" s="102" t="s">
        <v>176</v>
      </c>
      <c r="V13" s="103" t="s">
        <v>180</v>
      </c>
      <c r="W13" s="104" t="s">
        <v>181</v>
      </c>
      <c r="X13" s="85">
        <v>2023</v>
      </c>
      <c r="Y13" s="85">
        <v>2024</v>
      </c>
      <c r="Z13" s="86">
        <v>2025</v>
      </c>
      <c r="AA13" s="85">
        <v>2023</v>
      </c>
      <c r="AB13" s="85">
        <v>2024</v>
      </c>
      <c r="AC13" s="86">
        <v>2025</v>
      </c>
      <c r="AD13" s="85">
        <v>2023</v>
      </c>
      <c r="AE13" s="85">
        <v>2024</v>
      </c>
      <c r="AF13" s="86">
        <v>2025</v>
      </c>
      <c r="AG13" s="85">
        <v>2023</v>
      </c>
      <c r="AH13" s="85">
        <v>2024</v>
      </c>
      <c r="AI13" s="86">
        <v>2025</v>
      </c>
      <c r="AJ13" s="105"/>
      <c r="AK13" s="105"/>
      <c r="AL13" s="106"/>
    </row>
    <row r="14" spans="1:38" s="115" customFormat="1" ht="18">
      <c r="A14" s="107">
        <v>0</v>
      </c>
      <c r="B14" s="107" t="s">
        <v>1</v>
      </c>
      <c r="C14" s="108">
        <f t="shared" ref="C14:AC14" si="0">SUM(C15:C44)</f>
        <v>12096</v>
      </c>
      <c r="D14" s="109">
        <f t="shared" si="0"/>
        <v>142827</v>
      </c>
      <c r="E14" s="108">
        <f t="shared" si="0"/>
        <v>162664</v>
      </c>
      <c r="F14" s="108">
        <f t="shared" si="0"/>
        <v>89267</v>
      </c>
      <c r="G14" s="108">
        <f t="shared" si="0"/>
        <v>11193.999999999998</v>
      </c>
      <c r="H14" s="108">
        <f t="shared" si="0"/>
        <v>11640.000000000002</v>
      </c>
      <c r="I14" s="110">
        <f t="shared" si="0"/>
        <v>12077.999999999998</v>
      </c>
      <c r="J14" s="109">
        <f t="shared" si="0"/>
        <v>181</v>
      </c>
      <c r="K14" s="108">
        <f t="shared" si="0"/>
        <v>2255</v>
      </c>
      <c r="L14" s="108">
        <f t="shared" si="0"/>
        <v>5984</v>
      </c>
      <c r="M14" s="108">
        <f t="shared" si="0"/>
        <v>1414</v>
      </c>
      <c r="N14" s="108">
        <f t="shared" si="0"/>
        <v>1414</v>
      </c>
      <c r="O14" s="110">
        <f t="shared" si="0"/>
        <v>1414</v>
      </c>
      <c r="P14" s="109">
        <f t="shared" si="0"/>
        <v>1162</v>
      </c>
      <c r="Q14" s="108">
        <f t="shared" si="0"/>
        <v>1098</v>
      </c>
      <c r="R14" s="108">
        <f t="shared" si="0"/>
        <v>4463.6517881687105</v>
      </c>
      <c r="S14" s="108">
        <f t="shared" si="0"/>
        <v>5399.4011544982759</v>
      </c>
      <c r="T14" s="110">
        <f t="shared" si="0"/>
        <v>17553.967160225762</v>
      </c>
      <c r="U14" s="109">
        <f t="shared" si="0"/>
        <v>7564</v>
      </c>
      <c r="V14" s="108">
        <f t="shared" si="0"/>
        <v>8294</v>
      </c>
      <c r="W14" s="108">
        <f t="shared" si="0"/>
        <v>1422</v>
      </c>
      <c r="X14" s="108">
        <f t="shared" si="0"/>
        <v>7370</v>
      </c>
      <c r="Y14" s="108">
        <f t="shared" si="0"/>
        <v>7370</v>
      </c>
      <c r="Z14" s="110">
        <f t="shared" si="0"/>
        <v>7370</v>
      </c>
      <c r="AA14" s="111">
        <f t="shared" si="0"/>
        <v>24441.651788168707</v>
      </c>
      <c r="AB14" s="108">
        <f t="shared" si="0"/>
        <v>25823.401154498275</v>
      </c>
      <c r="AC14" s="108">
        <f t="shared" si="0"/>
        <v>38415.967160225766</v>
      </c>
      <c r="AD14" s="112"/>
      <c r="AE14" s="112"/>
      <c r="AF14" s="112"/>
      <c r="AG14" s="112"/>
      <c r="AH14" s="112"/>
      <c r="AI14" s="112"/>
      <c r="AJ14" s="113"/>
      <c r="AK14" s="113"/>
      <c r="AL14" s="114">
        <f>SUM(AL15:AL24)</f>
        <v>53</v>
      </c>
    </row>
    <row r="15" spans="1:38" s="126" customFormat="1" ht="15.75">
      <c r="A15" s="65">
        <v>1</v>
      </c>
      <c r="B15" s="70" t="s">
        <v>127</v>
      </c>
      <c r="C15" s="116">
        <v>1501</v>
      </c>
      <c r="D15" s="117">
        <v>10706</v>
      </c>
      <c r="E15" s="117">
        <v>12790</v>
      </c>
      <c r="F15" s="117">
        <v>7192</v>
      </c>
      <c r="G15" s="118">
        <f>$G$8*((0.3*D15/$D$14)+(0.35*E15/$E$14)+(0.35*F15/$F$14))</f>
        <v>875.43587749709764</v>
      </c>
      <c r="H15" s="118">
        <f t="shared" ref="H15:H44" si="1">$H$8*((0.3*D15/$D$14)+(0.35*E15/$E$14)+(0.35*F15/$F$14))</f>
        <v>910.31567036503634</v>
      </c>
      <c r="I15" s="119">
        <f t="shared" ref="I15:I44" si="2">$I$8*((0.3*D15/$D$14)+(0.35*E15/$E$14)+(0.35*F15/$F$14))</f>
        <v>944.56981672413303</v>
      </c>
      <c r="J15" s="117">
        <v>0</v>
      </c>
      <c r="K15" s="117">
        <v>0</v>
      </c>
      <c r="L15" s="117">
        <v>0</v>
      </c>
      <c r="M15" s="120">
        <f t="shared" ref="M15:M44" si="3">$M$8*((0.3*J15/$J$14)+(0.35*K15/$K$14)+(0.35*L15/$L$14))</f>
        <v>0</v>
      </c>
      <c r="N15" s="120">
        <f t="shared" ref="N15:N44" si="4">$N$8*((0.3*J15/$J$14)+(0.35*K15/$K$14)+(0.35*L15/$L$14))</f>
        <v>0</v>
      </c>
      <c r="O15" s="121">
        <f t="shared" ref="O15:O44" si="5">$O$8*((0.3*J15/$J$14)+(0.35*K15/$K$14)+(0.35*L15/$L$14))</f>
        <v>0</v>
      </c>
      <c r="P15" s="117">
        <v>106</v>
      </c>
      <c r="Q15" s="117">
        <v>85</v>
      </c>
      <c r="R15" s="120">
        <f>$M$8*((0.45*P15/$J$14)+(0.55*Q15/$K$14))</f>
        <v>401.95441315186639</v>
      </c>
      <c r="S15" s="120">
        <f>$M$8*((0.45*Q15/$J$14)+(0.55*R15/$K$14))</f>
        <v>437.44017083359358</v>
      </c>
      <c r="T15" s="120">
        <f>$M$8*((0.45*R15/$J$14)+(0.55*S15/$K$14))</f>
        <v>1563.9220379263018</v>
      </c>
      <c r="U15" s="117">
        <v>671</v>
      </c>
      <c r="V15" s="117">
        <v>695</v>
      </c>
      <c r="W15" s="117">
        <v>284</v>
      </c>
      <c r="X15" s="120">
        <f t="shared" ref="X15:X44" si="6">$X$8*((0.3*U15/$U$14)+(0.35*V15/$V$14)+(0.35*W15/$W$14))</f>
        <v>927.462029528524</v>
      </c>
      <c r="Y15" s="120">
        <f t="shared" ref="Y15:Y44" si="7">$Y$8*((0.3*U15/$U$14)+(0.35*V15/$V$14)+(0.35*W15/$W$14))</f>
        <v>927.462029528524</v>
      </c>
      <c r="Z15" s="121">
        <f t="shared" ref="Z15:Z44" si="8">$Z$8*((0.3*U15/$U$14)+(0.35*V15/$V$14)+(0.35*W15/$W$14))</f>
        <v>927.462029528524</v>
      </c>
      <c r="AA15" s="122">
        <f t="shared" ref="AA15:AA44" si="9">G15+M15+X15+R15</f>
        <v>2204.8523201774879</v>
      </c>
      <c r="AB15" s="118">
        <f t="shared" ref="AB15:AB44" si="10">H15+N15+Y15+S15</f>
        <v>2275.2178707271541</v>
      </c>
      <c r="AC15" s="118">
        <f t="shared" ref="AC15:AC44" si="11">I15+O15+Z15+T15</f>
        <v>3435.953884178959</v>
      </c>
      <c r="AD15" s="123">
        <f>SUM(AJ15*AK15)</f>
        <v>0.10566037735849057</v>
      </c>
      <c r="AE15" s="123">
        <f>SUM(AJ15*AK15)</f>
        <v>0.10566037735849057</v>
      </c>
      <c r="AF15" s="123">
        <f>SUM(AJ15*AK15)</f>
        <v>0.10566037735849057</v>
      </c>
      <c r="AG15" s="124">
        <f t="shared" ref="AG15:AG44" si="12">AA15/C15*$C$14/$AA$14*AD15</f>
        <v>7.6810783785977887E-2</v>
      </c>
      <c r="AH15" s="124">
        <f t="shared" ref="AH15:AH44" si="13">AB15/C15*$C$14/$AB$14*AE15</f>
        <v>7.5020990131673154E-2</v>
      </c>
      <c r="AI15" s="124">
        <f t="shared" ref="AI15:AI44" si="14">AC15/C15*$C$14/$AC$14*AF15</f>
        <v>7.6156819434823317E-2</v>
      </c>
      <c r="AJ15" s="125">
        <v>0.8</v>
      </c>
      <c r="AK15" s="69">
        <f>SUM(AL15/$AL$14)</f>
        <v>0.13207547169811321</v>
      </c>
      <c r="AL15" s="106">
        <v>7</v>
      </c>
    </row>
    <row r="16" spans="1:38" s="126" customFormat="1" ht="15.75">
      <c r="A16" s="65">
        <v>3</v>
      </c>
      <c r="B16" s="70" t="s">
        <v>129</v>
      </c>
      <c r="C16" s="116">
        <v>216</v>
      </c>
      <c r="D16" s="117">
        <v>1555</v>
      </c>
      <c r="E16" s="117">
        <v>1877</v>
      </c>
      <c r="F16" s="117">
        <v>958</v>
      </c>
      <c r="G16" s="118">
        <f t="shared" ref="G16:G44" si="15">$G$8*((0.3*D16/$D$14)+(0.35*E16/$E$14)+(0.35*F16/$F$14))</f>
        <v>123.81716659223454</v>
      </c>
      <c r="H16" s="118">
        <f t="shared" si="1"/>
        <v>128.75038584363142</v>
      </c>
      <c r="I16" s="119">
        <f t="shared" si="2"/>
        <v>133.59511685733506</v>
      </c>
      <c r="J16" s="117">
        <v>0</v>
      </c>
      <c r="K16" s="117">
        <v>0</v>
      </c>
      <c r="L16" s="117">
        <v>0</v>
      </c>
      <c r="M16" s="120">
        <f t="shared" si="3"/>
        <v>0</v>
      </c>
      <c r="N16" s="120">
        <f t="shared" si="4"/>
        <v>0</v>
      </c>
      <c r="O16" s="121">
        <f t="shared" si="5"/>
        <v>0</v>
      </c>
      <c r="P16" s="117">
        <v>3</v>
      </c>
      <c r="Q16" s="117">
        <v>11</v>
      </c>
      <c r="R16" s="120">
        <f t="shared" ref="R16:T16" si="16">$M$8*((0.45*P16/$J$14)+(0.55*Q16/$K$14))</f>
        <v>14.340067376364374</v>
      </c>
      <c r="S16" s="120">
        <f t="shared" si="16"/>
        <v>43.615740201997632</v>
      </c>
      <c r="T16" s="120">
        <f t="shared" si="16"/>
        <v>65.454182490686875</v>
      </c>
      <c r="U16" s="117">
        <v>13</v>
      </c>
      <c r="V16" s="117">
        <v>19</v>
      </c>
      <c r="W16" s="117">
        <v>2</v>
      </c>
      <c r="X16" s="120">
        <f t="shared" si="6"/>
        <v>13.337113500839376</v>
      </c>
      <c r="Y16" s="120">
        <f t="shared" si="7"/>
        <v>13.337113500839376</v>
      </c>
      <c r="Z16" s="121">
        <f t="shared" si="8"/>
        <v>13.337113500839376</v>
      </c>
      <c r="AA16" s="122">
        <f t="shared" si="9"/>
        <v>151.49434746943828</v>
      </c>
      <c r="AB16" s="118">
        <f t="shared" si="10"/>
        <v>185.70323954646841</v>
      </c>
      <c r="AC16" s="118">
        <f t="shared" si="11"/>
        <v>212.38641284886131</v>
      </c>
      <c r="AD16" s="123">
        <f t="shared" ref="AD16:AD24" si="17">SUM(AJ16*AK16)</f>
        <v>3.0188679245283019E-2</v>
      </c>
      <c r="AE16" s="123">
        <f t="shared" ref="AE16:AE24" si="18">SUM(AJ16*AK16)</f>
        <v>3.0188679245283019E-2</v>
      </c>
      <c r="AF16" s="123">
        <f t="shared" ref="AF16:AF24" si="19">SUM(AJ16*AK16)</f>
        <v>3.0188679245283019E-2</v>
      </c>
      <c r="AG16" s="124">
        <f t="shared" si="12"/>
        <v>1.04784734256283E-2</v>
      </c>
      <c r="AH16" s="124">
        <f t="shared" si="13"/>
        <v>1.2157329237790868E-2</v>
      </c>
      <c r="AI16" s="124">
        <f t="shared" si="14"/>
        <v>9.3464588550194825E-3</v>
      </c>
      <c r="AJ16" s="125">
        <v>0.8</v>
      </c>
      <c r="AK16" s="69">
        <f t="shared" ref="AK16:AK24" si="20">SUM(AL16/$AL$14)</f>
        <v>3.7735849056603772E-2</v>
      </c>
      <c r="AL16" s="106">
        <v>2</v>
      </c>
    </row>
    <row r="17" spans="1:38" s="126" customFormat="1" ht="15.75">
      <c r="A17" s="65">
        <v>4</v>
      </c>
      <c r="B17" s="70" t="s">
        <v>130</v>
      </c>
      <c r="C17" s="116">
        <v>2869</v>
      </c>
      <c r="D17" s="117">
        <v>26178</v>
      </c>
      <c r="E17" s="117">
        <v>29221</v>
      </c>
      <c r="F17" s="117">
        <v>15725</v>
      </c>
      <c r="G17" s="118">
        <f t="shared" si="15"/>
        <v>2009.4842920290221</v>
      </c>
      <c r="H17" s="118">
        <f t="shared" si="1"/>
        <v>2089.5477183507073</v>
      </c>
      <c r="I17" s="119">
        <f t="shared" si="2"/>
        <v>2168.175029402048</v>
      </c>
      <c r="J17" s="117">
        <v>29</v>
      </c>
      <c r="K17" s="117">
        <v>116</v>
      </c>
      <c r="L17" s="117">
        <v>185</v>
      </c>
      <c r="M17" s="120">
        <f t="shared" si="3"/>
        <v>108.72423361232072</v>
      </c>
      <c r="N17" s="120">
        <f t="shared" si="4"/>
        <v>108.72423361232072</v>
      </c>
      <c r="O17" s="121">
        <f t="shared" si="5"/>
        <v>108.72423361232072</v>
      </c>
      <c r="P17" s="117">
        <v>268</v>
      </c>
      <c r="Q17" s="117">
        <v>202</v>
      </c>
      <c r="R17" s="120">
        <f t="shared" ref="R17:T17" si="21">$M$8*((0.45*P17/$J$14)+(0.55*Q17/$K$14))</f>
        <v>1011.8112222072498</v>
      </c>
      <c r="S17" s="120">
        <f t="shared" si="21"/>
        <v>1059.0763419274899</v>
      </c>
      <c r="T17" s="120">
        <f t="shared" si="21"/>
        <v>3922.2437883382422</v>
      </c>
      <c r="U17" s="117">
        <v>2908</v>
      </c>
      <c r="V17" s="117">
        <v>3264</v>
      </c>
      <c r="W17" s="117">
        <v>280</v>
      </c>
      <c r="X17" s="120">
        <f t="shared" si="6"/>
        <v>2373.073252802968</v>
      </c>
      <c r="Y17" s="120">
        <f t="shared" si="7"/>
        <v>2373.073252802968</v>
      </c>
      <c r="Z17" s="121">
        <f t="shared" si="8"/>
        <v>2373.073252802968</v>
      </c>
      <c r="AA17" s="122">
        <f t="shared" si="9"/>
        <v>5503.09300065156</v>
      </c>
      <c r="AB17" s="118">
        <f t="shared" si="10"/>
        <v>5630.4215466934857</v>
      </c>
      <c r="AC17" s="118">
        <f t="shared" si="11"/>
        <v>8572.2163041555796</v>
      </c>
      <c r="AD17" s="123">
        <f t="shared" si="17"/>
        <v>0.16603773584905662</v>
      </c>
      <c r="AE17" s="123">
        <f t="shared" si="18"/>
        <v>0.16603773584905662</v>
      </c>
      <c r="AF17" s="123">
        <f t="shared" si="19"/>
        <v>0.16603773584905662</v>
      </c>
      <c r="AG17" s="124">
        <f t="shared" si="12"/>
        <v>0.1576138335364094</v>
      </c>
      <c r="AH17" s="124">
        <f t="shared" si="13"/>
        <v>0.15263196734135978</v>
      </c>
      <c r="AI17" s="124">
        <f t="shared" si="14"/>
        <v>0.15620660090308219</v>
      </c>
      <c r="AJ17" s="125">
        <v>0.8</v>
      </c>
      <c r="AK17" s="69">
        <f t="shared" si="20"/>
        <v>0.20754716981132076</v>
      </c>
      <c r="AL17" s="106">
        <v>11</v>
      </c>
    </row>
    <row r="18" spans="1:38" s="126" customFormat="1" ht="15.75">
      <c r="A18" s="65">
        <v>5</v>
      </c>
      <c r="B18" s="70" t="s">
        <v>131</v>
      </c>
      <c r="C18" s="116">
        <v>1197</v>
      </c>
      <c r="D18" s="117">
        <v>8783</v>
      </c>
      <c r="E18" s="117">
        <v>10222</v>
      </c>
      <c r="F18" s="117">
        <v>4111</v>
      </c>
      <c r="G18" s="118">
        <f t="shared" si="15"/>
        <v>633.14505355475694</v>
      </c>
      <c r="H18" s="118">
        <f t="shared" si="1"/>
        <v>658.37130814520026</v>
      </c>
      <c r="I18" s="119">
        <f t="shared" si="2"/>
        <v>683.14507386406603</v>
      </c>
      <c r="J18" s="117">
        <v>0</v>
      </c>
      <c r="K18" s="117">
        <v>0</v>
      </c>
      <c r="L18" s="117">
        <v>0</v>
      </c>
      <c r="M18" s="120">
        <f t="shared" si="3"/>
        <v>0</v>
      </c>
      <c r="N18" s="120">
        <f t="shared" si="4"/>
        <v>0</v>
      </c>
      <c r="O18" s="121">
        <f t="shared" si="5"/>
        <v>0</v>
      </c>
      <c r="P18" s="117">
        <v>124</v>
      </c>
      <c r="Q18" s="117">
        <v>75</v>
      </c>
      <c r="R18" s="120">
        <f t="shared" ref="R18:T18" si="22">$M$8*((0.45*P18/$J$14)+(0.55*Q18/$K$14))</f>
        <v>461.78408570273552</v>
      </c>
      <c r="S18" s="120">
        <f t="shared" si="22"/>
        <v>422.91941542951616</v>
      </c>
      <c r="T18" s="120">
        <f t="shared" si="22"/>
        <v>1769.2435439595813</v>
      </c>
      <c r="U18" s="117">
        <v>304</v>
      </c>
      <c r="V18" s="117">
        <v>325</v>
      </c>
      <c r="W18" s="117">
        <v>96</v>
      </c>
      <c r="X18" s="120">
        <f t="shared" si="6"/>
        <v>364.08196627057811</v>
      </c>
      <c r="Y18" s="120">
        <f t="shared" si="7"/>
        <v>364.08196627057811</v>
      </c>
      <c r="Z18" s="121">
        <f t="shared" si="8"/>
        <v>364.08196627057811</v>
      </c>
      <c r="AA18" s="122">
        <f t="shared" si="9"/>
        <v>1459.0111055280704</v>
      </c>
      <c r="AB18" s="118">
        <f t="shared" si="10"/>
        <v>1445.3726898452946</v>
      </c>
      <c r="AC18" s="118">
        <f t="shared" si="11"/>
        <v>2816.4705840942252</v>
      </c>
      <c r="AD18" s="123">
        <f t="shared" si="17"/>
        <v>9.0566037735849064E-2</v>
      </c>
      <c r="AE18" s="123">
        <f t="shared" si="18"/>
        <v>9.0566037735849064E-2</v>
      </c>
      <c r="AF18" s="123">
        <f t="shared" si="19"/>
        <v>9.0566037735849064E-2</v>
      </c>
      <c r="AG18" s="124">
        <f t="shared" si="12"/>
        <v>5.4631237798089628E-2</v>
      </c>
      <c r="AH18" s="124">
        <f t="shared" si="13"/>
        <v>5.1224697000586787E-2</v>
      </c>
      <c r="AI18" s="124">
        <f t="shared" si="14"/>
        <v>6.7097516189071144E-2</v>
      </c>
      <c r="AJ18" s="125">
        <v>0.8</v>
      </c>
      <c r="AK18" s="69">
        <f t="shared" si="20"/>
        <v>0.11320754716981132</v>
      </c>
      <c r="AL18" s="106">
        <v>6</v>
      </c>
    </row>
    <row r="19" spans="1:38" s="126" customFormat="1" ht="15.75">
      <c r="A19" s="65">
        <v>6</v>
      </c>
      <c r="B19" s="70" t="s">
        <v>132</v>
      </c>
      <c r="C19" s="116">
        <v>619</v>
      </c>
      <c r="D19" s="117">
        <v>6601</v>
      </c>
      <c r="E19" s="117">
        <v>7193</v>
      </c>
      <c r="F19" s="117">
        <v>3187</v>
      </c>
      <c r="G19" s="118">
        <f t="shared" si="15"/>
        <v>468.33099143171484</v>
      </c>
      <c r="H19" s="118">
        <f t="shared" si="1"/>
        <v>486.99059677194577</v>
      </c>
      <c r="I19" s="119">
        <f t="shared" si="2"/>
        <v>505.31550067109629</v>
      </c>
      <c r="J19" s="117">
        <v>0</v>
      </c>
      <c r="K19" s="117">
        <v>0</v>
      </c>
      <c r="L19" s="117">
        <v>0</v>
      </c>
      <c r="M19" s="120">
        <f t="shared" si="3"/>
        <v>0</v>
      </c>
      <c r="N19" s="120">
        <f t="shared" si="4"/>
        <v>0</v>
      </c>
      <c r="O19" s="121">
        <f t="shared" si="5"/>
        <v>0</v>
      </c>
      <c r="P19" s="117">
        <v>54</v>
      </c>
      <c r="Q19" s="117">
        <v>38</v>
      </c>
      <c r="R19" s="120">
        <f t="shared" ref="R19:T19" si="23">$M$8*((0.45*P19/$J$14)+(0.55*Q19/$K$14))</f>
        <v>202.94072496968064</v>
      </c>
      <c r="S19" s="120">
        <f t="shared" si="23"/>
        <v>203.57764654950847</v>
      </c>
      <c r="T19" s="120">
        <f t="shared" si="23"/>
        <v>783.6414134411184</v>
      </c>
      <c r="U19" s="117">
        <v>295</v>
      </c>
      <c r="V19" s="117">
        <v>324</v>
      </c>
      <c r="W19" s="117">
        <v>236</v>
      </c>
      <c r="X19" s="120">
        <f t="shared" si="6"/>
        <v>615.09941976451603</v>
      </c>
      <c r="Y19" s="120">
        <f t="shared" si="7"/>
        <v>615.09941976451603</v>
      </c>
      <c r="Z19" s="121">
        <f t="shared" si="8"/>
        <v>615.09941976451603</v>
      </c>
      <c r="AA19" s="122">
        <f t="shared" si="9"/>
        <v>1286.3711361659114</v>
      </c>
      <c r="AB19" s="118">
        <f t="shared" si="10"/>
        <v>1305.6676630859704</v>
      </c>
      <c r="AC19" s="118">
        <f t="shared" si="11"/>
        <v>1904.0563338767306</v>
      </c>
      <c r="AD19" s="123">
        <f t="shared" si="17"/>
        <v>4.5283018867924532E-2</v>
      </c>
      <c r="AE19" s="123">
        <f t="shared" si="18"/>
        <v>4.5283018867924532E-2</v>
      </c>
      <c r="AF19" s="123">
        <f t="shared" si="19"/>
        <v>4.5283018867924532E-2</v>
      </c>
      <c r="AG19" s="124">
        <f t="shared" si="12"/>
        <v>4.6571715464229106E-2</v>
      </c>
      <c r="AH19" s="124">
        <f t="shared" si="13"/>
        <v>4.474100215579202E-2</v>
      </c>
      <c r="AI19" s="124">
        <f t="shared" si="14"/>
        <v>4.385857562349909E-2</v>
      </c>
      <c r="AJ19" s="125">
        <v>0.8</v>
      </c>
      <c r="AK19" s="69">
        <f t="shared" si="20"/>
        <v>5.6603773584905662E-2</v>
      </c>
      <c r="AL19" s="106">
        <v>3</v>
      </c>
    </row>
    <row r="20" spans="1:38" s="126" customFormat="1" ht="15.75">
      <c r="A20" s="65">
        <v>7</v>
      </c>
      <c r="B20" s="70" t="s">
        <v>133</v>
      </c>
      <c r="C20" s="116">
        <v>1300</v>
      </c>
      <c r="D20" s="117">
        <v>37169</v>
      </c>
      <c r="E20" s="117">
        <v>42093</v>
      </c>
      <c r="F20" s="117">
        <v>22928</v>
      </c>
      <c r="G20" s="118">
        <f t="shared" si="15"/>
        <v>2894.0790182589067</v>
      </c>
      <c r="H20" s="118">
        <f t="shared" si="1"/>
        <v>3009.3871513787453</v>
      </c>
      <c r="I20" s="119">
        <f t="shared" si="2"/>
        <v>3122.6269771780485</v>
      </c>
      <c r="J20" s="117">
        <v>16</v>
      </c>
      <c r="K20" s="117">
        <v>3</v>
      </c>
      <c r="L20" s="117">
        <v>0</v>
      </c>
      <c r="M20" s="120">
        <f t="shared" si="3"/>
        <v>38.156746089108303</v>
      </c>
      <c r="N20" s="120">
        <f t="shared" si="4"/>
        <v>38.156746089108303</v>
      </c>
      <c r="O20" s="121">
        <f t="shared" si="5"/>
        <v>38.156746089108303</v>
      </c>
      <c r="P20" s="117">
        <v>92</v>
      </c>
      <c r="Q20" s="117">
        <v>85</v>
      </c>
      <c r="R20" s="120">
        <f t="shared" ref="R20:T20" si="24">$M$8*((0.45*P20/$J$14)+(0.55*Q20/$K$14))</f>
        <v>352.73783856623095</v>
      </c>
      <c r="S20" s="120">
        <f t="shared" si="24"/>
        <v>420.46645462284022</v>
      </c>
      <c r="T20" s="120">
        <f t="shared" si="24"/>
        <v>1385.0488033744539</v>
      </c>
      <c r="U20" s="117">
        <v>448</v>
      </c>
      <c r="V20" s="117">
        <v>730</v>
      </c>
      <c r="W20" s="117">
        <v>25</v>
      </c>
      <c r="X20" s="120">
        <f t="shared" si="6"/>
        <v>403.33860332664176</v>
      </c>
      <c r="Y20" s="120">
        <f t="shared" si="7"/>
        <v>403.33860332664176</v>
      </c>
      <c r="Z20" s="121">
        <f t="shared" si="8"/>
        <v>403.33860332664176</v>
      </c>
      <c r="AA20" s="122">
        <f t="shared" si="9"/>
        <v>3688.3122062408879</v>
      </c>
      <c r="AB20" s="118">
        <f t="shared" si="10"/>
        <v>3871.3489554173352</v>
      </c>
      <c r="AC20" s="118">
        <f t="shared" si="11"/>
        <v>4949.1711299682529</v>
      </c>
      <c r="AD20" s="123">
        <f t="shared" si="17"/>
        <v>9.0566037735849064E-2</v>
      </c>
      <c r="AE20" s="123">
        <f t="shared" si="18"/>
        <v>9.0566037735849064E-2</v>
      </c>
      <c r="AF20" s="123">
        <f t="shared" si="19"/>
        <v>9.0566037735849064E-2</v>
      </c>
      <c r="AG20" s="124">
        <f t="shared" si="12"/>
        <v>0.12716304444301435</v>
      </c>
      <c r="AH20" s="124">
        <f t="shared" si="13"/>
        <v>0.12633179626680149</v>
      </c>
      <c r="AI20" s="124">
        <f t="shared" si="14"/>
        <v>0.10856366420315974</v>
      </c>
      <c r="AJ20" s="125">
        <v>0.8</v>
      </c>
      <c r="AK20" s="69">
        <f t="shared" si="20"/>
        <v>0.11320754716981132</v>
      </c>
      <c r="AL20" s="106">
        <v>6</v>
      </c>
    </row>
    <row r="21" spans="1:38" s="126" customFormat="1" ht="15.75">
      <c r="A21" s="65">
        <v>8</v>
      </c>
      <c r="B21" s="70" t="s">
        <v>134</v>
      </c>
      <c r="C21" s="116">
        <v>1589</v>
      </c>
      <c r="D21" s="117">
        <v>39310</v>
      </c>
      <c r="E21" s="117">
        <v>43025</v>
      </c>
      <c r="F21" s="117">
        <v>27560</v>
      </c>
      <c r="G21" s="118">
        <f t="shared" si="15"/>
        <v>3170.1639859656461</v>
      </c>
      <c r="H21" s="118">
        <f t="shared" si="1"/>
        <v>3296.4721097588103</v>
      </c>
      <c r="I21" s="119">
        <f t="shared" si="2"/>
        <v>3420.5146169816931</v>
      </c>
      <c r="J21" s="117">
        <v>76</v>
      </c>
      <c r="K21" s="117">
        <v>2090</v>
      </c>
      <c r="L21" s="117">
        <v>5737</v>
      </c>
      <c r="M21" s="120">
        <f t="shared" si="3"/>
        <v>1111.2770743295512</v>
      </c>
      <c r="N21" s="120">
        <f t="shared" si="4"/>
        <v>1111.2770743295512</v>
      </c>
      <c r="O21" s="121">
        <f t="shared" si="5"/>
        <v>1111.2770743295512</v>
      </c>
      <c r="P21" s="117">
        <v>437</v>
      </c>
      <c r="Q21" s="117">
        <v>278</v>
      </c>
      <c r="R21" s="120">
        <f t="shared" ref="R21:T21" si="25">$M$8*((0.45*P21/$J$14)+(0.55*Q21/$K$14))</f>
        <v>1632.1363185554508</v>
      </c>
      <c r="S21" s="120">
        <f t="shared" si="25"/>
        <v>1540.1885413733605</v>
      </c>
      <c r="T21" s="120">
        <f t="shared" si="25"/>
        <v>6268.9028514821002</v>
      </c>
      <c r="U21" s="117">
        <v>1491</v>
      </c>
      <c r="V21" s="117">
        <v>1454</v>
      </c>
      <c r="W21" s="117">
        <v>358</v>
      </c>
      <c r="X21" s="120">
        <f t="shared" si="6"/>
        <v>1537.4432928743561</v>
      </c>
      <c r="Y21" s="120">
        <f t="shared" si="7"/>
        <v>1537.4432928743561</v>
      </c>
      <c r="Z21" s="121">
        <f t="shared" si="8"/>
        <v>1537.4432928743561</v>
      </c>
      <c r="AA21" s="122">
        <f t="shared" si="9"/>
        <v>7451.0206717250048</v>
      </c>
      <c r="AB21" s="118">
        <f t="shared" si="10"/>
        <v>7485.3810183360783</v>
      </c>
      <c r="AC21" s="118">
        <f t="shared" si="11"/>
        <v>12338.137835667701</v>
      </c>
      <c r="AD21" s="123">
        <f t="shared" si="17"/>
        <v>0.10566037735849057</v>
      </c>
      <c r="AE21" s="123">
        <f t="shared" si="18"/>
        <v>0.10566037735849057</v>
      </c>
      <c r="AF21" s="123">
        <f t="shared" si="19"/>
        <v>0.10566037735849057</v>
      </c>
      <c r="AG21" s="124">
        <f t="shared" si="12"/>
        <v>0.24519705748401574</v>
      </c>
      <c r="AH21" s="124">
        <f t="shared" si="13"/>
        <v>0.23314736315938098</v>
      </c>
      <c r="AI21" s="124">
        <f t="shared" si="14"/>
        <v>0.25832586040035693</v>
      </c>
      <c r="AJ21" s="125">
        <v>0.8</v>
      </c>
      <c r="AK21" s="69">
        <f t="shared" si="20"/>
        <v>0.13207547169811321</v>
      </c>
      <c r="AL21" s="106">
        <v>7</v>
      </c>
    </row>
    <row r="22" spans="1:38" s="126" customFormat="1" ht="15.75">
      <c r="A22" s="65">
        <v>9</v>
      </c>
      <c r="B22" s="70" t="s">
        <v>135</v>
      </c>
      <c r="C22" s="116">
        <v>457</v>
      </c>
      <c r="D22" s="117">
        <v>2957</v>
      </c>
      <c r="E22" s="117">
        <v>3828</v>
      </c>
      <c r="F22" s="117">
        <v>1972</v>
      </c>
      <c r="G22" s="118">
        <f t="shared" si="15"/>
        <v>248.27711655396539</v>
      </c>
      <c r="H22" s="118">
        <f t="shared" si="1"/>
        <v>258.16916532858289</v>
      </c>
      <c r="I22" s="119">
        <f t="shared" si="2"/>
        <v>267.88377825074093</v>
      </c>
      <c r="J22" s="117">
        <v>0</v>
      </c>
      <c r="K22" s="117">
        <v>0</v>
      </c>
      <c r="L22" s="117">
        <v>0</v>
      </c>
      <c r="M22" s="120">
        <f t="shared" si="3"/>
        <v>0</v>
      </c>
      <c r="N22" s="120">
        <f t="shared" si="4"/>
        <v>0</v>
      </c>
      <c r="O22" s="121">
        <f t="shared" si="5"/>
        <v>0</v>
      </c>
      <c r="P22" s="117">
        <v>31</v>
      </c>
      <c r="Q22" s="117">
        <v>23</v>
      </c>
      <c r="R22" s="120">
        <f t="shared" ref="R22:T22" si="26">$M$8*((0.45*P22/$J$14)+(0.55*Q22/$K$14))</f>
        <v>116.91175313300096</v>
      </c>
      <c r="S22" s="120">
        <f t="shared" si="26"/>
        <v>121.17609840498781</v>
      </c>
      <c r="T22" s="120">
        <f t="shared" si="26"/>
        <v>452.79069194872528</v>
      </c>
      <c r="U22" s="117">
        <v>94</v>
      </c>
      <c r="V22" s="117">
        <v>103</v>
      </c>
      <c r="W22" s="117">
        <v>27</v>
      </c>
      <c r="X22" s="120">
        <f t="shared" si="6"/>
        <v>108.48839961780304</v>
      </c>
      <c r="Y22" s="120">
        <f t="shared" si="7"/>
        <v>108.48839961780304</v>
      </c>
      <c r="Z22" s="121">
        <f t="shared" si="8"/>
        <v>108.48839961780304</v>
      </c>
      <c r="AA22" s="122">
        <f t="shared" si="9"/>
        <v>473.67726930476937</v>
      </c>
      <c r="AB22" s="118">
        <f t="shared" si="10"/>
        <v>487.83366335137373</v>
      </c>
      <c r="AC22" s="118">
        <f t="shared" si="11"/>
        <v>829.16286981726921</v>
      </c>
      <c r="AD22" s="123">
        <f t="shared" si="17"/>
        <v>6.0377358490566038E-2</v>
      </c>
      <c r="AE22" s="123">
        <f t="shared" si="18"/>
        <v>6.0377358490566038E-2</v>
      </c>
      <c r="AF22" s="123">
        <f t="shared" si="19"/>
        <v>6.0377358490566038E-2</v>
      </c>
      <c r="AG22" s="124">
        <f t="shared" si="12"/>
        <v>3.0970746871861615E-2</v>
      </c>
      <c r="AH22" s="124">
        <f t="shared" si="13"/>
        <v>3.0189645320807462E-2</v>
      </c>
      <c r="AI22" s="124">
        <f t="shared" si="14"/>
        <v>3.449274528689264E-2</v>
      </c>
      <c r="AJ22" s="125">
        <v>0.8</v>
      </c>
      <c r="AK22" s="69">
        <f t="shared" si="20"/>
        <v>7.5471698113207544E-2</v>
      </c>
      <c r="AL22" s="106">
        <v>4</v>
      </c>
    </row>
    <row r="23" spans="1:38" s="126" customFormat="1" ht="15.75">
      <c r="A23" s="65">
        <v>10</v>
      </c>
      <c r="B23" s="70" t="s">
        <v>136</v>
      </c>
      <c r="C23" s="116">
        <v>1593</v>
      </c>
      <c r="D23" s="117">
        <v>8938</v>
      </c>
      <c r="E23" s="117">
        <v>10822</v>
      </c>
      <c r="F23" s="117">
        <v>5251</v>
      </c>
      <c r="G23" s="118">
        <f t="shared" si="15"/>
        <v>701.27521130381297</v>
      </c>
      <c r="H23" s="118">
        <f t="shared" si="1"/>
        <v>729.21596029805096</v>
      </c>
      <c r="I23" s="119">
        <f t="shared" si="2"/>
        <v>756.6555299381323</v>
      </c>
      <c r="J23" s="117">
        <v>36</v>
      </c>
      <c r="K23" s="117">
        <v>28</v>
      </c>
      <c r="L23" s="117">
        <v>62</v>
      </c>
      <c r="M23" s="120">
        <f t="shared" si="3"/>
        <v>95.644010870834109</v>
      </c>
      <c r="N23" s="120">
        <f t="shared" si="4"/>
        <v>95.644010870834109</v>
      </c>
      <c r="O23" s="121">
        <f t="shared" si="5"/>
        <v>95.644010870834109</v>
      </c>
      <c r="P23" s="117">
        <v>140</v>
      </c>
      <c r="Q23" s="117">
        <v>124</v>
      </c>
      <c r="R23" s="120">
        <f t="shared" ref="R23:T23" si="27">$M$8*((0.45*P23/$J$14)+(0.55*Q23/$K$14))</f>
        <v>534.9306239051341</v>
      </c>
      <c r="S23" s="120">
        <f t="shared" si="27"/>
        <v>620.40406184953054</v>
      </c>
      <c r="T23" s="120">
        <f t="shared" si="27"/>
        <v>2094.49609584669</v>
      </c>
      <c r="U23" s="117">
        <v>794</v>
      </c>
      <c r="V23" s="117">
        <v>869</v>
      </c>
      <c r="W23" s="117">
        <v>83</v>
      </c>
      <c r="X23" s="120">
        <f t="shared" si="6"/>
        <v>652.91814092655875</v>
      </c>
      <c r="Y23" s="120">
        <f t="shared" si="7"/>
        <v>652.91814092655875</v>
      </c>
      <c r="Z23" s="121">
        <f t="shared" si="8"/>
        <v>652.91814092655875</v>
      </c>
      <c r="AA23" s="122">
        <f t="shared" si="9"/>
        <v>1984.76798700634</v>
      </c>
      <c r="AB23" s="118">
        <f t="shared" si="10"/>
        <v>2098.1821739449742</v>
      </c>
      <c r="AC23" s="118">
        <f t="shared" si="11"/>
        <v>3599.7137775822152</v>
      </c>
      <c r="AD23" s="123">
        <f t="shared" si="17"/>
        <v>6.0377358490566038E-2</v>
      </c>
      <c r="AE23" s="123">
        <f t="shared" si="18"/>
        <v>6.0377358490566038E-2</v>
      </c>
      <c r="AF23" s="123">
        <f t="shared" si="19"/>
        <v>6.0377358490566038E-2</v>
      </c>
      <c r="AG23" s="124">
        <f t="shared" si="12"/>
        <v>3.7228822902347601E-2</v>
      </c>
      <c r="AH23" s="124">
        <f t="shared" si="13"/>
        <v>3.7250307499811168E-2</v>
      </c>
      <c r="AI23" s="124">
        <f t="shared" si="14"/>
        <v>4.2959212335028224E-2</v>
      </c>
      <c r="AJ23" s="125">
        <v>0.8</v>
      </c>
      <c r="AK23" s="69">
        <f t="shared" si="20"/>
        <v>7.5471698113207544E-2</v>
      </c>
      <c r="AL23" s="106">
        <v>4</v>
      </c>
    </row>
    <row r="24" spans="1:38" s="126" customFormat="1" ht="15.75">
      <c r="A24" s="65">
        <v>11</v>
      </c>
      <c r="B24" s="70" t="s">
        <v>137</v>
      </c>
      <c r="C24" s="116">
        <v>755</v>
      </c>
      <c r="D24" s="117">
        <v>630</v>
      </c>
      <c r="E24" s="117">
        <v>1593</v>
      </c>
      <c r="F24" s="117">
        <v>383</v>
      </c>
      <c r="G24" s="118">
        <f t="shared" si="15"/>
        <v>69.991286812842091</v>
      </c>
      <c r="H24" s="118">
        <f t="shared" si="1"/>
        <v>72.779933759289079</v>
      </c>
      <c r="I24" s="119">
        <f t="shared" si="2"/>
        <v>75.518560132705616</v>
      </c>
      <c r="J24" s="117">
        <v>24</v>
      </c>
      <c r="K24" s="117">
        <v>18</v>
      </c>
      <c r="L24" s="117">
        <v>0</v>
      </c>
      <c r="M24" s="120">
        <f t="shared" si="3"/>
        <v>60.197935098185731</v>
      </c>
      <c r="N24" s="120">
        <f t="shared" si="4"/>
        <v>60.197935098185731</v>
      </c>
      <c r="O24" s="121">
        <f t="shared" si="5"/>
        <v>60.197935098185731</v>
      </c>
      <c r="P24" s="117">
        <v>-93</v>
      </c>
      <c r="Q24" s="117">
        <v>177</v>
      </c>
      <c r="R24" s="120">
        <f t="shared" ref="R24:T24" si="28">$M$8*((0.45*P24/$J$14)+(0.55*Q24/$K$14))</f>
        <v>-265.89525939900284</v>
      </c>
      <c r="S24" s="120">
        <f t="shared" si="28"/>
        <v>530.53668330545167</v>
      </c>
      <c r="T24" s="120">
        <f t="shared" si="28"/>
        <v>-751.77624858213596</v>
      </c>
      <c r="U24" s="117">
        <v>546</v>
      </c>
      <c r="V24" s="117">
        <v>511</v>
      </c>
      <c r="W24" s="117">
        <v>31</v>
      </c>
      <c r="X24" s="120">
        <f t="shared" si="6"/>
        <v>374.75778138721444</v>
      </c>
      <c r="Y24" s="120">
        <f t="shared" si="7"/>
        <v>374.75778138721444</v>
      </c>
      <c r="Z24" s="121">
        <f t="shared" si="8"/>
        <v>374.75778138721444</v>
      </c>
      <c r="AA24" s="122">
        <f t="shared" si="9"/>
        <v>239.05174389923945</v>
      </c>
      <c r="AB24" s="118">
        <f t="shared" si="10"/>
        <v>1038.272333550141</v>
      </c>
      <c r="AC24" s="118">
        <f t="shared" si="11"/>
        <v>-241.30197196403014</v>
      </c>
      <c r="AD24" s="123">
        <f t="shared" si="17"/>
        <v>4.5283018867924532E-2</v>
      </c>
      <c r="AE24" s="123">
        <f t="shared" si="18"/>
        <v>4.5283018867924532E-2</v>
      </c>
      <c r="AF24" s="123">
        <f t="shared" si="19"/>
        <v>4.5283018867924532E-2</v>
      </c>
      <c r="AG24" s="124">
        <f t="shared" si="12"/>
        <v>7.0956398209599857E-3</v>
      </c>
      <c r="AH24" s="124">
        <f t="shared" si="13"/>
        <v>2.916943643553286E-2</v>
      </c>
      <c r="AI24" s="124">
        <f t="shared" si="14"/>
        <v>-4.5570028294699191E-3</v>
      </c>
      <c r="AJ24" s="125">
        <v>0.8</v>
      </c>
      <c r="AK24" s="69">
        <f t="shared" si="20"/>
        <v>5.6603773584905662E-2</v>
      </c>
      <c r="AL24" s="106">
        <v>3</v>
      </c>
    </row>
    <row r="25" spans="1:38" ht="15.75" hidden="1">
      <c r="A25" s="65">
        <v>12</v>
      </c>
      <c r="B25" s="66"/>
      <c r="C25" s="127"/>
      <c r="D25" s="128"/>
      <c r="E25" s="120"/>
      <c r="F25" s="88"/>
      <c r="G25" s="88">
        <f t="shared" si="15"/>
        <v>0</v>
      </c>
      <c r="H25" s="88">
        <f t="shared" si="1"/>
        <v>0</v>
      </c>
      <c r="I25" s="129">
        <f t="shared" si="2"/>
        <v>0</v>
      </c>
      <c r="J25" s="128"/>
      <c r="K25" s="120"/>
      <c r="L25" s="120"/>
      <c r="M25" s="120">
        <f t="shared" si="3"/>
        <v>0</v>
      </c>
      <c r="N25" s="120">
        <f t="shared" si="4"/>
        <v>0</v>
      </c>
      <c r="O25" s="121">
        <f t="shared" si="5"/>
        <v>0</v>
      </c>
      <c r="P25" s="128"/>
      <c r="Q25" s="120"/>
      <c r="R25" s="120">
        <f t="shared" ref="R25:T25" si="29">$M$8*((0.45*P25/$J$14)+(0.55*Q25/$K$14))</f>
        <v>0</v>
      </c>
      <c r="S25" s="120">
        <f t="shared" si="29"/>
        <v>0</v>
      </c>
      <c r="T25" s="120">
        <f t="shared" si="29"/>
        <v>0</v>
      </c>
      <c r="U25" s="128"/>
      <c r="V25" s="120"/>
      <c r="W25" s="120"/>
      <c r="X25" s="120">
        <f t="shared" si="6"/>
        <v>0</v>
      </c>
      <c r="Y25" s="120">
        <f t="shared" si="7"/>
        <v>0</v>
      </c>
      <c r="Z25" s="121">
        <f t="shared" si="8"/>
        <v>0</v>
      </c>
      <c r="AA25" s="130">
        <f t="shared" si="9"/>
        <v>0</v>
      </c>
      <c r="AB25" s="88">
        <f t="shared" si="10"/>
        <v>0</v>
      </c>
      <c r="AC25" s="88">
        <f t="shared" si="11"/>
        <v>0</v>
      </c>
      <c r="AD25" s="88"/>
      <c r="AE25" s="88"/>
      <c r="AF25" s="88"/>
      <c r="AG25" s="105" t="e">
        <f t="shared" si="12"/>
        <v>#DIV/0!</v>
      </c>
      <c r="AH25" s="105" t="e">
        <f t="shared" si="13"/>
        <v>#DIV/0!</v>
      </c>
      <c r="AI25" s="105" t="e">
        <f t="shared" si="14"/>
        <v>#DIV/0!</v>
      </c>
      <c r="AK25" s="131"/>
      <c r="AL25" s="131"/>
    </row>
    <row r="26" spans="1:38" ht="15.75" hidden="1">
      <c r="A26" s="65">
        <v>13</v>
      </c>
      <c r="B26" s="66"/>
      <c r="C26" s="127"/>
      <c r="D26" s="128"/>
      <c r="E26" s="120"/>
      <c r="F26" s="88"/>
      <c r="G26" s="88">
        <f t="shared" si="15"/>
        <v>0</v>
      </c>
      <c r="H26" s="88">
        <f t="shared" si="1"/>
        <v>0</v>
      </c>
      <c r="I26" s="129">
        <f t="shared" si="2"/>
        <v>0</v>
      </c>
      <c r="J26" s="128"/>
      <c r="K26" s="120"/>
      <c r="L26" s="120"/>
      <c r="M26" s="120">
        <f t="shared" si="3"/>
        <v>0</v>
      </c>
      <c r="N26" s="120">
        <f t="shared" si="4"/>
        <v>0</v>
      </c>
      <c r="O26" s="121">
        <f t="shared" si="5"/>
        <v>0</v>
      </c>
      <c r="P26" s="128"/>
      <c r="Q26" s="120"/>
      <c r="R26" s="120">
        <f t="shared" ref="R26:T26" si="30">$M$8*((0.45*P26/$J$14)+(0.55*Q26/$K$14))</f>
        <v>0</v>
      </c>
      <c r="S26" s="120">
        <f t="shared" si="30"/>
        <v>0</v>
      </c>
      <c r="T26" s="120">
        <f t="shared" si="30"/>
        <v>0</v>
      </c>
      <c r="U26" s="128"/>
      <c r="V26" s="120"/>
      <c r="W26" s="120"/>
      <c r="X26" s="120">
        <f t="shared" si="6"/>
        <v>0</v>
      </c>
      <c r="Y26" s="120">
        <f t="shared" si="7"/>
        <v>0</v>
      </c>
      <c r="Z26" s="121">
        <f t="shared" si="8"/>
        <v>0</v>
      </c>
      <c r="AA26" s="130">
        <f t="shared" si="9"/>
        <v>0</v>
      </c>
      <c r="AB26" s="88">
        <f t="shared" si="10"/>
        <v>0</v>
      </c>
      <c r="AC26" s="88">
        <f t="shared" si="11"/>
        <v>0</v>
      </c>
      <c r="AD26" s="88"/>
      <c r="AE26" s="88"/>
      <c r="AF26" s="88"/>
      <c r="AG26" s="105" t="e">
        <f t="shared" si="12"/>
        <v>#DIV/0!</v>
      </c>
      <c r="AH26" s="105" t="e">
        <f t="shared" si="13"/>
        <v>#DIV/0!</v>
      </c>
      <c r="AI26" s="105" t="e">
        <f t="shared" si="14"/>
        <v>#DIV/0!</v>
      </c>
      <c r="AK26" s="131"/>
      <c r="AL26" s="131"/>
    </row>
    <row r="27" spans="1:38" ht="15.75" hidden="1">
      <c r="A27" s="65">
        <v>14</v>
      </c>
      <c r="B27" s="66"/>
      <c r="C27" s="127"/>
      <c r="D27" s="128"/>
      <c r="E27" s="120"/>
      <c r="F27" s="88"/>
      <c r="G27" s="88">
        <f t="shared" si="15"/>
        <v>0</v>
      </c>
      <c r="H27" s="88">
        <f t="shared" si="1"/>
        <v>0</v>
      </c>
      <c r="I27" s="129">
        <f t="shared" si="2"/>
        <v>0</v>
      </c>
      <c r="J27" s="128"/>
      <c r="K27" s="120"/>
      <c r="L27" s="120"/>
      <c r="M27" s="120">
        <f t="shared" si="3"/>
        <v>0</v>
      </c>
      <c r="N27" s="120">
        <f t="shared" si="4"/>
        <v>0</v>
      </c>
      <c r="O27" s="121">
        <f t="shared" si="5"/>
        <v>0</v>
      </c>
      <c r="P27" s="128"/>
      <c r="Q27" s="120"/>
      <c r="R27" s="120">
        <f t="shared" ref="R27:T27" si="31">$M$8*((0.45*P27/$J$14)+(0.55*Q27/$K$14))</f>
        <v>0</v>
      </c>
      <c r="S27" s="120">
        <f t="shared" si="31"/>
        <v>0</v>
      </c>
      <c r="T27" s="120">
        <f t="shared" si="31"/>
        <v>0</v>
      </c>
      <c r="U27" s="128"/>
      <c r="V27" s="120"/>
      <c r="W27" s="120"/>
      <c r="X27" s="120">
        <f t="shared" si="6"/>
        <v>0</v>
      </c>
      <c r="Y27" s="120">
        <f t="shared" si="7"/>
        <v>0</v>
      </c>
      <c r="Z27" s="121">
        <f t="shared" si="8"/>
        <v>0</v>
      </c>
      <c r="AA27" s="130">
        <f t="shared" si="9"/>
        <v>0</v>
      </c>
      <c r="AB27" s="88">
        <f t="shared" si="10"/>
        <v>0</v>
      </c>
      <c r="AC27" s="88">
        <f t="shared" si="11"/>
        <v>0</v>
      </c>
      <c r="AD27" s="88"/>
      <c r="AE27" s="88"/>
      <c r="AF27" s="88"/>
      <c r="AG27" s="105" t="e">
        <f t="shared" si="12"/>
        <v>#DIV/0!</v>
      </c>
      <c r="AH27" s="105" t="e">
        <f t="shared" si="13"/>
        <v>#DIV/0!</v>
      </c>
      <c r="AI27" s="105" t="e">
        <f t="shared" si="14"/>
        <v>#DIV/0!</v>
      </c>
      <c r="AK27" s="131"/>
      <c r="AL27" s="131"/>
    </row>
    <row r="28" spans="1:38" ht="15.75" hidden="1">
      <c r="A28" s="65">
        <v>15</v>
      </c>
      <c r="B28" s="66"/>
      <c r="C28" s="127"/>
      <c r="D28" s="128"/>
      <c r="E28" s="120"/>
      <c r="F28" s="88"/>
      <c r="G28" s="88">
        <f t="shared" si="15"/>
        <v>0</v>
      </c>
      <c r="H28" s="88">
        <f t="shared" si="1"/>
        <v>0</v>
      </c>
      <c r="I28" s="129">
        <f t="shared" si="2"/>
        <v>0</v>
      </c>
      <c r="J28" s="128"/>
      <c r="K28" s="120"/>
      <c r="L28" s="120"/>
      <c r="M28" s="120">
        <f t="shared" si="3"/>
        <v>0</v>
      </c>
      <c r="N28" s="120">
        <f t="shared" si="4"/>
        <v>0</v>
      </c>
      <c r="O28" s="121">
        <f t="shared" si="5"/>
        <v>0</v>
      </c>
      <c r="P28" s="128"/>
      <c r="Q28" s="120"/>
      <c r="R28" s="120">
        <f t="shared" ref="R28:T28" si="32">$M$8*((0.45*P28/$J$14)+(0.55*Q28/$K$14))</f>
        <v>0</v>
      </c>
      <c r="S28" s="120">
        <f t="shared" si="32"/>
        <v>0</v>
      </c>
      <c r="T28" s="120">
        <f t="shared" si="32"/>
        <v>0</v>
      </c>
      <c r="U28" s="128"/>
      <c r="V28" s="120"/>
      <c r="W28" s="120"/>
      <c r="X28" s="120">
        <f t="shared" si="6"/>
        <v>0</v>
      </c>
      <c r="Y28" s="120">
        <f t="shared" si="7"/>
        <v>0</v>
      </c>
      <c r="Z28" s="121">
        <f t="shared" si="8"/>
        <v>0</v>
      </c>
      <c r="AA28" s="130">
        <f t="shared" si="9"/>
        <v>0</v>
      </c>
      <c r="AB28" s="88">
        <f t="shared" si="10"/>
        <v>0</v>
      </c>
      <c r="AC28" s="88">
        <f t="shared" si="11"/>
        <v>0</v>
      </c>
      <c r="AD28" s="88"/>
      <c r="AE28" s="88"/>
      <c r="AF28" s="88"/>
      <c r="AG28" s="105" t="e">
        <f t="shared" si="12"/>
        <v>#DIV/0!</v>
      </c>
      <c r="AH28" s="105" t="e">
        <f t="shared" si="13"/>
        <v>#DIV/0!</v>
      </c>
      <c r="AI28" s="105" t="e">
        <f t="shared" si="14"/>
        <v>#DIV/0!</v>
      </c>
      <c r="AK28" s="131"/>
      <c r="AL28" s="131"/>
    </row>
    <row r="29" spans="1:38" ht="15.75" hidden="1">
      <c r="A29" s="65">
        <v>16</v>
      </c>
      <c r="B29" s="66"/>
      <c r="C29" s="127"/>
      <c r="D29" s="128"/>
      <c r="E29" s="120"/>
      <c r="F29" s="88"/>
      <c r="G29" s="88">
        <f t="shared" si="15"/>
        <v>0</v>
      </c>
      <c r="H29" s="88">
        <f t="shared" si="1"/>
        <v>0</v>
      </c>
      <c r="I29" s="129">
        <f t="shared" si="2"/>
        <v>0</v>
      </c>
      <c r="J29" s="128"/>
      <c r="K29" s="120"/>
      <c r="L29" s="120"/>
      <c r="M29" s="120">
        <f t="shared" si="3"/>
        <v>0</v>
      </c>
      <c r="N29" s="120">
        <f t="shared" si="4"/>
        <v>0</v>
      </c>
      <c r="O29" s="121">
        <f t="shared" si="5"/>
        <v>0</v>
      </c>
      <c r="P29" s="128"/>
      <c r="Q29" s="120"/>
      <c r="R29" s="120">
        <f t="shared" ref="R29:T29" si="33">$M$8*((0.45*P29/$J$14)+(0.55*Q29/$K$14))</f>
        <v>0</v>
      </c>
      <c r="S29" s="120">
        <f t="shared" si="33"/>
        <v>0</v>
      </c>
      <c r="T29" s="120">
        <f t="shared" si="33"/>
        <v>0</v>
      </c>
      <c r="U29" s="128"/>
      <c r="V29" s="120"/>
      <c r="W29" s="120"/>
      <c r="X29" s="120">
        <f t="shared" si="6"/>
        <v>0</v>
      </c>
      <c r="Y29" s="120">
        <f t="shared" si="7"/>
        <v>0</v>
      </c>
      <c r="Z29" s="121">
        <f t="shared" si="8"/>
        <v>0</v>
      </c>
      <c r="AA29" s="130">
        <f t="shared" si="9"/>
        <v>0</v>
      </c>
      <c r="AB29" s="88">
        <f t="shared" si="10"/>
        <v>0</v>
      </c>
      <c r="AC29" s="88">
        <f t="shared" si="11"/>
        <v>0</v>
      </c>
      <c r="AD29" s="88"/>
      <c r="AE29" s="88"/>
      <c r="AF29" s="88"/>
      <c r="AG29" s="105" t="e">
        <f t="shared" si="12"/>
        <v>#DIV/0!</v>
      </c>
      <c r="AH29" s="105" t="e">
        <f t="shared" si="13"/>
        <v>#DIV/0!</v>
      </c>
      <c r="AI29" s="105" t="e">
        <f t="shared" si="14"/>
        <v>#DIV/0!</v>
      </c>
      <c r="AK29" s="131"/>
      <c r="AL29" s="131"/>
    </row>
    <row r="30" spans="1:38" ht="15.75" hidden="1">
      <c r="A30" s="65">
        <v>17</v>
      </c>
      <c r="B30" s="66"/>
      <c r="C30" s="127"/>
      <c r="D30" s="128"/>
      <c r="E30" s="120"/>
      <c r="F30" s="88"/>
      <c r="G30" s="88">
        <f t="shared" si="15"/>
        <v>0</v>
      </c>
      <c r="H30" s="88">
        <f t="shared" si="1"/>
        <v>0</v>
      </c>
      <c r="I30" s="129">
        <f t="shared" si="2"/>
        <v>0</v>
      </c>
      <c r="J30" s="128"/>
      <c r="K30" s="120"/>
      <c r="L30" s="120"/>
      <c r="M30" s="120">
        <f t="shared" si="3"/>
        <v>0</v>
      </c>
      <c r="N30" s="120">
        <f t="shared" si="4"/>
        <v>0</v>
      </c>
      <c r="O30" s="121">
        <f t="shared" si="5"/>
        <v>0</v>
      </c>
      <c r="P30" s="128"/>
      <c r="Q30" s="120"/>
      <c r="R30" s="120">
        <f t="shared" ref="R30:T30" si="34">$M$8*((0.45*P30/$J$14)+(0.55*Q30/$K$14))</f>
        <v>0</v>
      </c>
      <c r="S30" s="120">
        <f t="shared" si="34"/>
        <v>0</v>
      </c>
      <c r="T30" s="120">
        <f t="shared" si="34"/>
        <v>0</v>
      </c>
      <c r="U30" s="128"/>
      <c r="V30" s="120"/>
      <c r="W30" s="120"/>
      <c r="X30" s="120">
        <f t="shared" si="6"/>
        <v>0</v>
      </c>
      <c r="Y30" s="120">
        <f t="shared" si="7"/>
        <v>0</v>
      </c>
      <c r="Z30" s="121">
        <f t="shared" si="8"/>
        <v>0</v>
      </c>
      <c r="AA30" s="130">
        <f t="shared" si="9"/>
        <v>0</v>
      </c>
      <c r="AB30" s="88">
        <f t="shared" si="10"/>
        <v>0</v>
      </c>
      <c r="AC30" s="88">
        <f t="shared" si="11"/>
        <v>0</v>
      </c>
      <c r="AD30" s="88"/>
      <c r="AE30" s="88"/>
      <c r="AF30" s="88"/>
      <c r="AG30" s="105" t="e">
        <f t="shared" si="12"/>
        <v>#DIV/0!</v>
      </c>
      <c r="AH30" s="105" t="e">
        <f t="shared" si="13"/>
        <v>#DIV/0!</v>
      </c>
      <c r="AI30" s="105" t="e">
        <f t="shared" si="14"/>
        <v>#DIV/0!</v>
      </c>
      <c r="AK30" s="131"/>
      <c r="AL30" s="131"/>
    </row>
    <row r="31" spans="1:38" ht="15.75" hidden="1">
      <c r="A31" s="65">
        <v>18</v>
      </c>
      <c r="B31" s="66"/>
      <c r="C31" s="127"/>
      <c r="D31" s="128"/>
      <c r="E31" s="120"/>
      <c r="F31" s="88"/>
      <c r="G31" s="88">
        <f t="shared" si="15"/>
        <v>0</v>
      </c>
      <c r="H31" s="88">
        <f t="shared" si="1"/>
        <v>0</v>
      </c>
      <c r="I31" s="129">
        <f t="shared" si="2"/>
        <v>0</v>
      </c>
      <c r="J31" s="128"/>
      <c r="K31" s="120"/>
      <c r="L31" s="120"/>
      <c r="M31" s="120">
        <f t="shared" si="3"/>
        <v>0</v>
      </c>
      <c r="N31" s="120">
        <f t="shared" si="4"/>
        <v>0</v>
      </c>
      <c r="O31" s="121">
        <f t="shared" si="5"/>
        <v>0</v>
      </c>
      <c r="P31" s="128"/>
      <c r="Q31" s="120"/>
      <c r="R31" s="120">
        <f t="shared" ref="R31:T31" si="35">$M$8*((0.45*P31/$J$14)+(0.55*Q31/$K$14))</f>
        <v>0</v>
      </c>
      <c r="S31" s="120">
        <f t="shared" si="35"/>
        <v>0</v>
      </c>
      <c r="T31" s="120">
        <f t="shared" si="35"/>
        <v>0</v>
      </c>
      <c r="U31" s="128"/>
      <c r="V31" s="120"/>
      <c r="W31" s="120"/>
      <c r="X31" s="120">
        <f t="shared" si="6"/>
        <v>0</v>
      </c>
      <c r="Y31" s="120">
        <f t="shared" si="7"/>
        <v>0</v>
      </c>
      <c r="Z31" s="121">
        <f t="shared" si="8"/>
        <v>0</v>
      </c>
      <c r="AA31" s="130">
        <f t="shared" si="9"/>
        <v>0</v>
      </c>
      <c r="AB31" s="88">
        <f t="shared" si="10"/>
        <v>0</v>
      </c>
      <c r="AC31" s="88">
        <f t="shared" si="11"/>
        <v>0</v>
      </c>
      <c r="AD31" s="88"/>
      <c r="AE31" s="88"/>
      <c r="AF31" s="88"/>
      <c r="AG31" s="105" t="e">
        <f t="shared" si="12"/>
        <v>#DIV/0!</v>
      </c>
      <c r="AH31" s="105" t="e">
        <f t="shared" si="13"/>
        <v>#DIV/0!</v>
      </c>
      <c r="AI31" s="105" t="e">
        <f t="shared" si="14"/>
        <v>#DIV/0!</v>
      </c>
      <c r="AK31" s="131"/>
      <c r="AL31" s="131"/>
    </row>
    <row r="32" spans="1:38" ht="15.75" hidden="1">
      <c r="A32" s="65">
        <v>19</v>
      </c>
      <c r="B32" s="66"/>
      <c r="C32" s="127"/>
      <c r="D32" s="128"/>
      <c r="E32" s="120"/>
      <c r="F32" s="88"/>
      <c r="G32" s="88">
        <f>$G$8*((0.3*D32/$D$14)+(0.35*E32/$E$14)+(0.35*F32/$F$14))</f>
        <v>0</v>
      </c>
      <c r="H32" s="88">
        <f t="shared" si="1"/>
        <v>0</v>
      </c>
      <c r="I32" s="129">
        <f t="shared" si="2"/>
        <v>0</v>
      </c>
      <c r="J32" s="128"/>
      <c r="K32" s="120"/>
      <c r="L32" s="120"/>
      <c r="M32" s="120">
        <f t="shared" si="3"/>
        <v>0</v>
      </c>
      <c r="N32" s="120">
        <f t="shared" si="4"/>
        <v>0</v>
      </c>
      <c r="O32" s="121">
        <f t="shared" si="5"/>
        <v>0</v>
      </c>
      <c r="P32" s="128"/>
      <c r="Q32" s="120"/>
      <c r="R32" s="120">
        <f t="shared" ref="R32:T32" si="36">$M$8*((0.45*P32/$J$14)+(0.55*Q32/$K$14))</f>
        <v>0</v>
      </c>
      <c r="S32" s="120">
        <f t="shared" si="36"/>
        <v>0</v>
      </c>
      <c r="T32" s="120">
        <f t="shared" si="36"/>
        <v>0</v>
      </c>
      <c r="U32" s="128"/>
      <c r="V32" s="120"/>
      <c r="W32" s="120"/>
      <c r="X32" s="120">
        <f t="shared" si="6"/>
        <v>0</v>
      </c>
      <c r="Y32" s="120">
        <f t="shared" si="7"/>
        <v>0</v>
      </c>
      <c r="Z32" s="121">
        <f t="shared" si="8"/>
        <v>0</v>
      </c>
      <c r="AA32" s="130">
        <f t="shared" si="9"/>
        <v>0</v>
      </c>
      <c r="AB32" s="88">
        <f t="shared" si="10"/>
        <v>0</v>
      </c>
      <c r="AC32" s="88">
        <f t="shared" si="11"/>
        <v>0</v>
      </c>
      <c r="AD32" s="88"/>
      <c r="AE32" s="88"/>
      <c r="AF32" s="88"/>
      <c r="AG32" s="105" t="e">
        <f t="shared" si="12"/>
        <v>#DIV/0!</v>
      </c>
      <c r="AH32" s="105" t="e">
        <f t="shared" si="13"/>
        <v>#DIV/0!</v>
      </c>
      <c r="AI32" s="105" t="e">
        <f t="shared" si="14"/>
        <v>#DIV/0!</v>
      </c>
      <c r="AK32" s="131"/>
      <c r="AL32" s="131"/>
    </row>
    <row r="33" spans="1:48" ht="15.75" hidden="1">
      <c r="A33" s="65">
        <v>20</v>
      </c>
      <c r="B33" s="66"/>
      <c r="C33" s="127"/>
      <c r="D33" s="128"/>
      <c r="E33" s="120"/>
      <c r="F33" s="88"/>
      <c r="G33" s="88">
        <f t="shared" si="15"/>
        <v>0</v>
      </c>
      <c r="H33" s="88">
        <f t="shared" si="1"/>
        <v>0</v>
      </c>
      <c r="I33" s="129">
        <f t="shared" si="2"/>
        <v>0</v>
      </c>
      <c r="J33" s="128"/>
      <c r="K33" s="120"/>
      <c r="L33" s="120"/>
      <c r="M33" s="120">
        <f t="shared" si="3"/>
        <v>0</v>
      </c>
      <c r="N33" s="120">
        <f t="shared" si="4"/>
        <v>0</v>
      </c>
      <c r="O33" s="121">
        <f t="shared" si="5"/>
        <v>0</v>
      </c>
      <c r="P33" s="128"/>
      <c r="Q33" s="120"/>
      <c r="R33" s="120">
        <f t="shared" ref="R33:T33" si="37">$M$8*((0.45*P33/$J$14)+(0.55*Q33/$K$14))</f>
        <v>0</v>
      </c>
      <c r="S33" s="120">
        <f t="shared" si="37"/>
        <v>0</v>
      </c>
      <c r="T33" s="120">
        <f t="shared" si="37"/>
        <v>0</v>
      </c>
      <c r="U33" s="128"/>
      <c r="V33" s="120"/>
      <c r="W33" s="120"/>
      <c r="X33" s="120">
        <f t="shared" si="6"/>
        <v>0</v>
      </c>
      <c r="Y33" s="120">
        <f t="shared" si="7"/>
        <v>0</v>
      </c>
      <c r="Z33" s="121">
        <f t="shared" si="8"/>
        <v>0</v>
      </c>
      <c r="AA33" s="130">
        <f t="shared" si="9"/>
        <v>0</v>
      </c>
      <c r="AB33" s="88">
        <f t="shared" si="10"/>
        <v>0</v>
      </c>
      <c r="AC33" s="88">
        <f t="shared" si="11"/>
        <v>0</v>
      </c>
      <c r="AD33" s="88"/>
      <c r="AE33" s="88"/>
      <c r="AF33" s="88"/>
      <c r="AG33" s="105" t="e">
        <f t="shared" si="12"/>
        <v>#DIV/0!</v>
      </c>
      <c r="AH33" s="105" t="e">
        <f t="shared" si="13"/>
        <v>#DIV/0!</v>
      </c>
      <c r="AI33" s="105" t="e">
        <f t="shared" si="14"/>
        <v>#DIV/0!</v>
      </c>
      <c r="AK33" s="131"/>
      <c r="AL33" s="131"/>
    </row>
    <row r="34" spans="1:48" ht="15.75" hidden="1">
      <c r="A34" s="65">
        <v>21</v>
      </c>
      <c r="B34" s="66"/>
      <c r="C34" s="127"/>
      <c r="D34" s="128"/>
      <c r="E34" s="120"/>
      <c r="F34" s="88"/>
      <c r="G34" s="88">
        <f t="shared" si="15"/>
        <v>0</v>
      </c>
      <c r="H34" s="88">
        <f t="shared" si="1"/>
        <v>0</v>
      </c>
      <c r="I34" s="129">
        <f t="shared" si="2"/>
        <v>0</v>
      </c>
      <c r="J34" s="128"/>
      <c r="K34" s="120"/>
      <c r="L34" s="120"/>
      <c r="M34" s="120">
        <f t="shared" si="3"/>
        <v>0</v>
      </c>
      <c r="N34" s="120">
        <f t="shared" si="4"/>
        <v>0</v>
      </c>
      <c r="O34" s="121">
        <f t="shared" si="5"/>
        <v>0</v>
      </c>
      <c r="P34" s="128"/>
      <c r="Q34" s="120"/>
      <c r="R34" s="120">
        <f t="shared" ref="R34:T34" si="38">$M$8*((0.45*P34/$J$14)+(0.55*Q34/$K$14))</f>
        <v>0</v>
      </c>
      <c r="S34" s="120">
        <f t="shared" si="38"/>
        <v>0</v>
      </c>
      <c r="T34" s="120">
        <f t="shared" si="38"/>
        <v>0</v>
      </c>
      <c r="U34" s="128"/>
      <c r="V34" s="120"/>
      <c r="W34" s="120"/>
      <c r="X34" s="120">
        <f t="shared" si="6"/>
        <v>0</v>
      </c>
      <c r="Y34" s="120">
        <f t="shared" si="7"/>
        <v>0</v>
      </c>
      <c r="Z34" s="121">
        <f t="shared" si="8"/>
        <v>0</v>
      </c>
      <c r="AA34" s="130">
        <f t="shared" si="9"/>
        <v>0</v>
      </c>
      <c r="AB34" s="88">
        <f t="shared" si="10"/>
        <v>0</v>
      </c>
      <c r="AC34" s="88">
        <f t="shared" si="11"/>
        <v>0</v>
      </c>
      <c r="AD34" s="88"/>
      <c r="AE34" s="88"/>
      <c r="AF34" s="88"/>
      <c r="AG34" s="105" t="e">
        <f t="shared" si="12"/>
        <v>#DIV/0!</v>
      </c>
      <c r="AH34" s="105" t="e">
        <f t="shared" si="13"/>
        <v>#DIV/0!</v>
      </c>
      <c r="AI34" s="105" t="e">
        <f t="shared" si="14"/>
        <v>#DIV/0!</v>
      </c>
      <c r="AK34" s="131"/>
      <c r="AL34" s="131"/>
    </row>
    <row r="35" spans="1:48" ht="15.75" hidden="1">
      <c r="A35" s="65">
        <v>22</v>
      </c>
      <c r="B35" s="66"/>
      <c r="C35" s="127"/>
      <c r="D35" s="128"/>
      <c r="E35" s="120"/>
      <c r="F35" s="88"/>
      <c r="G35" s="88">
        <f t="shared" si="15"/>
        <v>0</v>
      </c>
      <c r="H35" s="88">
        <f t="shared" si="1"/>
        <v>0</v>
      </c>
      <c r="I35" s="129">
        <f t="shared" si="2"/>
        <v>0</v>
      </c>
      <c r="J35" s="128"/>
      <c r="K35" s="120"/>
      <c r="L35" s="120"/>
      <c r="M35" s="120">
        <f t="shared" si="3"/>
        <v>0</v>
      </c>
      <c r="N35" s="120">
        <f t="shared" si="4"/>
        <v>0</v>
      </c>
      <c r="O35" s="121">
        <f t="shared" si="5"/>
        <v>0</v>
      </c>
      <c r="P35" s="128"/>
      <c r="Q35" s="120"/>
      <c r="R35" s="120">
        <f t="shared" ref="R35:T35" si="39">$M$8*((0.45*P35/$J$14)+(0.55*Q35/$K$14))</f>
        <v>0</v>
      </c>
      <c r="S35" s="120">
        <f t="shared" si="39"/>
        <v>0</v>
      </c>
      <c r="T35" s="120">
        <f t="shared" si="39"/>
        <v>0</v>
      </c>
      <c r="U35" s="128"/>
      <c r="V35" s="120"/>
      <c r="W35" s="120"/>
      <c r="X35" s="120">
        <f t="shared" si="6"/>
        <v>0</v>
      </c>
      <c r="Y35" s="120">
        <f t="shared" si="7"/>
        <v>0</v>
      </c>
      <c r="Z35" s="121">
        <f t="shared" si="8"/>
        <v>0</v>
      </c>
      <c r="AA35" s="130">
        <f t="shared" si="9"/>
        <v>0</v>
      </c>
      <c r="AB35" s="88">
        <f t="shared" si="10"/>
        <v>0</v>
      </c>
      <c r="AC35" s="88">
        <f t="shared" si="11"/>
        <v>0</v>
      </c>
      <c r="AD35" s="88"/>
      <c r="AE35" s="88"/>
      <c r="AF35" s="88"/>
      <c r="AG35" s="105" t="e">
        <f t="shared" si="12"/>
        <v>#DIV/0!</v>
      </c>
      <c r="AH35" s="105" t="e">
        <f t="shared" si="13"/>
        <v>#DIV/0!</v>
      </c>
      <c r="AI35" s="105" t="e">
        <f t="shared" si="14"/>
        <v>#DIV/0!</v>
      </c>
      <c r="AK35" s="131"/>
      <c r="AL35" s="131"/>
    </row>
    <row r="36" spans="1:48" ht="15.75" hidden="1">
      <c r="A36" s="65">
        <v>23</v>
      </c>
      <c r="B36" s="66"/>
      <c r="C36" s="127"/>
      <c r="D36" s="128"/>
      <c r="E36" s="120"/>
      <c r="F36" s="88"/>
      <c r="G36" s="88">
        <f t="shared" si="15"/>
        <v>0</v>
      </c>
      <c r="H36" s="88">
        <f t="shared" si="1"/>
        <v>0</v>
      </c>
      <c r="I36" s="129">
        <f t="shared" si="2"/>
        <v>0</v>
      </c>
      <c r="J36" s="128"/>
      <c r="K36" s="120"/>
      <c r="L36" s="120"/>
      <c r="M36" s="120">
        <f t="shared" si="3"/>
        <v>0</v>
      </c>
      <c r="N36" s="120">
        <f t="shared" si="4"/>
        <v>0</v>
      </c>
      <c r="O36" s="121">
        <f t="shared" si="5"/>
        <v>0</v>
      </c>
      <c r="P36" s="128"/>
      <c r="Q36" s="120"/>
      <c r="R36" s="120">
        <f t="shared" ref="R36:T36" si="40">$M$8*((0.45*P36/$J$14)+(0.55*Q36/$K$14))</f>
        <v>0</v>
      </c>
      <c r="S36" s="120">
        <f t="shared" si="40"/>
        <v>0</v>
      </c>
      <c r="T36" s="120">
        <f t="shared" si="40"/>
        <v>0</v>
      </c>
      <c r="U36" s="128"/>
      <c r="V36" s="120"/>
      <c r="W36" s="120"/>
      <c r="X36" s="120">
        <f t="shared" si="6"/>
        <v>0</v>
      </c>
      <c r="Y36" s="120">
        <f t="shared" si="7"/>
        <v>0</v>
      </c>
      <c r="Z36" s="121">
        <f t="shared" si="8"/>
        <v>0</v>
      </c>
      <c r="AA36" s="130">
        <f t="shared" si="9"/>
        <v>0</v>
      </c>
      <c r="AB36" s="88">
        <f t="shared" si="10"/>
        <v>0</v>
      </c>
      <c r="AC36" s="88">
        <f t="shared" si="11"/>
        <v>0</v>
      </c>
      <c r="AD36" s="88"/>
      <c r="AE36" s="88"/>
      <c r="AF36" s="88"/>
      <c r="AG36" s="105" t="e">
        <f t="shared" si="12"/>
        <v>#DIV/0!</v>
      </c>
      <c r="AH36" s="105" t="e">
        <f t="shared" si="13"/>
        <v>#DIV/0!</v>
      </c>
      <c r="AI36" s="105" t="e">
        <f t="shared" si="14"/>
        <v>#DIV/0!</v>
      </c>
      <c r="AK36" s="131"/>
      <c r="AL36" s="131"/>
    </row>
    <row r="37" spans="1:48" ht="15.75" hidden="1">
      <c r="A37" s="65">
        <v>24</v>
      </c>
      <c r="B37" s="66"/>
      <c r="C37" s="127"/>
      <c r="D37" s="128"/>
      <c r="E37" s="120"/>
      <c r="F37" s="88"/>
      <c r="G37" s="88">
        <f t="shared" si="15"/>
        <v>0</v>
      </c>
      <c r="H37" s="88">
        <f t="shared" si="1"/>
        <v>0</v>
      </c>
      <c r="I37" s="129">
        <f t="shared" si="2"/>
        <v>0</v>
      </c>
      <c r="J37" s="128"/>
      <c r="K37" s="120"/>
      <c r="L37" s="120"/>
      <c r="M37" s="120">
        <f t="shared" si="3"/>
        <v>0</v>
      </c>
      <c r="N37" s="120">
        <f t="shared" si="4"/>
        <v>0</v>
      </c>
      <c r="O37" s="121">
        <f t="shared" si="5"/>
        <v>0</v>
      </c>
      <c r="P37" s="128"/>
      <c r="Q37" s="120"/>
      <c r="R37" s="120">
        <f t="shared" ref="R37:T37" si="41">$M$8*((0.45*P37/$J$14)+(0.55*Q37/$K$14))</f>
        <v>0</v>
      </c>
      <c r="S37" s="120">
        <f t="shared" si="41"/>
        <v>0</v>
      </c>
      <c r="T37" s="120">
        <f t="shared" si="41"/>
        <v>0</v>
      </c>
      <c r="U37" s="128"/>
      <c r="V37" s="120"/>
      <c r="W37" s="120"/>
      <c r="X37" s="120">
        <f t="shared" si="6"/>
        <v>0</v>
      </c>
      <c r="Y37" s="120">
        <f t="shared" si="7"/>
        <v>0</v>
      </c>
      <c r="Z37" s="121">
        <f t="shared" si="8"/>
        <v>0</v>
      </c>
      <c r="AA37" s="130">
        <f t="shared" si="9"/>
        <v>0</v>
      </c>
      <c r="AB37" s="88">
        <f t="shared" si="10"/>
        <v>0</v>
      </c>
      <c r="AC37" s="88">
        <f t="shared" si="11"/>
        <v>0</v>
      </c>
      <c r="AD37" s="88"/>
      <c r="AE37" s="88"/>
      <c r="AF37" s="88"/>
      <c r="AG37" s="105" t="e">
        <f t="shared" si="12"/>
        <v>#DIV/0!</v>
      </c>
      <c r="AH37" s="105" t="e">
        <f t="shared" si="13"/>
        <v>#DIV/0!</v>
      </c>
      <c r="AI37" s="105" t="e">
        <f t="shared" si="14"/>
        <v>#DIV/0!</v>
      </c>
      <c r="AK37" s="131"/>
      <c r="AL37" s="131"/>
    </row>
    <row r="38" spans="1:48" ht="15.75" hidden="1">
      <c r="A38" s="65">
        <v>25</v>
      </c>
      <c r="B38" s="66"/>
      <c r="C38" s="127"/>
      <c r="D38" s="128"/>
      <c r="E38" s="120"/>
      <c r="F38" s="88"/>
      <c r="G38" s="88">
        <f t="shared" si="15"/>
        <v>0</v>
      </c>
      <c r="H38" s="88">
        <f t="shared" si="1"/>
        <v>0</v>
      </c>
      <c r="I38" s="129">
        <f t="shared" si="2"/>
        <v>0</v>
      </c>
      <c r="J38" s="128"/>
      <c r="K38" s="120"/>
      <c r="L38" s="120"/>
      <c r="M38" s="120">
        <f t="shared" si="3"/>
        <v>0</v>
      </c>
      <c r="N38" s="120">
        <f t="shared" si="4"/>
        <v>0</v>
      </c>
      <c r="O38" s="121">
        <f t="shared" si="5"/>
        <v>0</v>
      </c>
      <c r="P38" s="128"/>
      <c r="Q38" s="120"/>
      <c r="R38" s="120">
        <f t="shared" ref="R38:T38" si="42">$M$8*((0.45*P38/$J$14)+(0.55*Q38/$K$14))</f>
        <v>0</v>
      </c>
      <c r="S38" s="120">
        <f t="shared" si="42"/>
        <v>0</v>
      </c>
      <c r="T38" s="120">
        <f t="shared" si="42"/>
        <v>0</v>
      </c>
      <c r="U38" s="128"/>
      <c r="V38" s="120"/>
      <c r="W38" s="120"/>
      <c r="X38" s="120">
        <f t="shared" si="6"/>
        <v>0</v>
      </c>
      <c r="Y38" s="120">
        <f t="shared" si="7"/>
        <v>0</v>
      </c>
      <c r="Z38" s="121">
        <f t="shared" si="8"/>
        <v>0</v>
      </c>
      <c r="AA38" s="130">
        <f t="shared" si="9"/>
        <v>0</v>
      </c>
      <c r="AB38" s="88">
        <f t="shared" si="10"/>
        <v>0</v>
      </c>
      <c r="AC38" s="88">
        <f t="shared" si="11"/>
        <v>0</v>
      </c>
      <c r="AD38" s="88"/>
      <c r="AE38" s="88"/>
      <c r="AF38" s="88"/>
      <c r="AG38" s="105" t="e">
        <f t="shared" si="12"/>
        <v>#DIV/0!</v>
      </c>
      <c r="AH38" s="105" t="e">
        <f t="shared" si="13"/>
        <v>#DIV/0!</v>
      </c>
      <c r="AI38" s="105" t="e">
        <f t="shared" si="14"/>
        <v>#DIV/0!</v>
      </c>
      <c r="AK38" s="131"/>
      <c r="AL38" s="131"/>
    </row>
    <row r="39" spans="1:48" ht="15.75" hidden="1">
      <c r="A39" s="65">
        <v>26</v>
      </c>
      <c r="B39" s="66"/>
      <c r="C39" s="127"/>
      <c r="D39" s="128"/>
      <c r="E39" s="120"/>
      <c r="F39" s="88"/>
      <c r="G39" s="88">
        <f t="shared" si="15"/>
        <v>0</v>
      </c>
      <c r="H39" s="88">
        <f t="shared" si="1"/>
        <v>0</v>
      </c>
      <c r="I39" s="129">
        <f t="shared" si="2"/>
        <v>0</v>
      </c>
      <c r="J39" s="128"/>
      <c r="K39" s="120"/>
      <c r="L39" s="120"/>
      <c r="M39" s="120">
        <f t="shared" si="3"/>
        <v>0</v>
      </c>
      <c r="N39" s="120">
        <f t="shared" si="4"/>
        <v>0</v>
      </c>
      <c r="O39" s="121">
        <f t="shared" si="5"/>
        <v>0</v>
      </c>
      <c r="P39" s="128"/>
      <c r="Q39" s="120"/>
      <c r="R39" s="120">
        <f t="shared" ref="R39:T39" si="43">$M$8*((0.45*P39/$J$14)+(0.55*Q39/$K$14))</f>
        <v>0</v>
      </c>
      <c r="S39" s="120">
        <f t="shared" si="43"/>
        <v>0</v>
      </c>
      <c r="T39" s="120">
        <f t="shared" si="43"/>
        <v>0</v>
      </c>
      <c r="U39" s="128"/>
      <c r="V39" s="120"/>
      <c r="W39" s="120"/>
      <c r="X39" s="120">
        <f t="shared" si="6"/>
        <v>0</v>
      </c>
      <c r="Y39" s="120">
        <f t="shared" si="7"/>
        <v>0</v>
      </c>
      <c r="Z39" s="121">
        <f t="shared" si="8"/>
        <v>0</v>
      </c>
      <c r="AA39" s="130">
        <f t="shared" si="9"/>
        <v>0</v>
      </c>
      <c r="AB39" s="88">
        <f t="shared" si="10"/>
        <v>0</v>
      </c>
      <c r="AC39" s="88">
        <f t="shared" si="11"/>
        <v>0</v>
      </c>
      <c r="AD39" s="88"/>
      <c r="AE39" s="88"/>
      <c r="AF39" s="88"/>
      <c r="AG39" s="105" t="e">
        <f t="shared" si="12"/>
        <v>#DIV/0!</v>
      </c>
      <c r="AH39" s="105" t="e">
        <f t="shared" si="13"/>
        <v>#DIV/0!</v>
      </c>
      <c r="AI39" s="105" t="e">
        <f t="shared" si="14"/>
        <v>#DIV/0!</v>
      </c>
      <c r="AK39" s="131"/>
      <c r="AL39" s="131"/>
    </row>
    <row r="40" spans="1:48" ht="15.75" hidden="1">
      <c r="A40" s="65">
        <v>27</v>
      </c>
      <c r="B40" s="66"/>
      <c r="C40" s="127"/>
      <c r="D40" s="128"/>
      <c r="E40" s="120"/>
      <c r="F40" s="88"/>
      <c r="G40" s="88">
        <f t="shared" si="15"/>
        <v>0</v>
      </c>
      <c r="H40" s="88">
        <f t="shared" si="1"/>
        <v>0</v>
      </c>
      <c r="I40" s="129">
        <f t="shared" si="2"/>
        <v>0</v>
      </c>
      <c r="J40" s="128"/>
      <c r="K40" s="120"/>
      <c r="L40" s="120"/>
      <c r="M40" s="120">
        <f t="shared" si="3"/>
        <v>0</v>
      </c>
      <c r="N40" s="120">
        <f t="shared" si="4"/>
        <v>0</v>
      </c>
      <c r="O40" s="121">
        <f t="shared" si="5"/>
        <v>0</v>
      </c>
      <c r="P40" s="128"/>
      <c r="Q40" s="120"/>
      <c r="R40" s="120">
        <f t="shared" ref="R40:T40" si="44">$M$8*((0.45*P40/$J$14)+(0.55*Q40/$K$14))</f>
        <v>0</v>
      </c>
      <c r="S40" s="120">
        <f t="shared" si="44"/>
        <v>0</v>
      </c>
      <c r="T40" s="120">
        <f t="shared" si="44"/>
        <v>0</v>
      </c>
      <c r="U40" s="128"/>
      <c r="V40" s="120"/>
      <c r="W40" s="120"/>
      <c r="X40" s="120">
        <f t="shared" si="6"/>
        <v>0</v>
      </c>
      <c r="Y40" s="120">
        <f t="shared" si="7"/>
        <v>0</v>
      </c>
      <c r="Z40" s="121">
        <f t="shared" si="8"/>
        <v>0</v>
      </c>
      <c r="AA40" s="130">
        <f t="shared" si="9"/>
        <v>0</v>
      </c>
      <c r="AB40" s="88">
        <f t="shared" si="10"/>
        <v>0</v>
      </c>
      <c r="AC40" s="88">
        <f t="shared" si="11"/>
        <v>0</v>
      </c>
      <c r="AD40" s="88"/>
      <c r="AE40" s="88"/>
      <c r="AF40" s="88"/>
      <c r="AG40" s="105" t="e">
        <f t="shared" si="12"/>
        <v>#DIV/0!</v>
      </c>
      <c r="AH40" s="105" t="e">
        <f t="shared" si="13"/>
        <v>#DIV/0!</v>
      </c>
      <c r="AI40" s="105" t="e">
        <f t="shared" si="14"/>
        <v>#DIV/0!</v>
      </c>
      <c r="AK40" s="131"/>
      <c r="AL40" s="131"/>
    </row>
    <row r="41" spans="1:48" ht="15.75" hidden="1">
      <c r="A41" s="65">
        <v>28</v>
      </c>
      <c r="B41" s="66"/>
      <c r="C41" s="127"/>
      <c r="D41" s="128"/>
      <c r="E41" s="120"/>
      <c r="F41" s="88"/>
      <c r="G41" s="88">
        <f t="shared" si="15"/>
        <v>0</v>
      </c>
      <c r="H41" s="88">
        <f t="shared" si="1"/>
        <v>0</v>
      </c>
      <c r="I41" s="129">
        <f t="shared" si="2"/>
        <v>0</v>
      </c>
      <c r="J41" s="128"/>
      <c r="K41" s="120"/>
      <c r="L41" s="120"/>
      <c r="M41" s="120">
        <f t="shared" si="3"/>
        <v>0</v>
      </c>
      <c r="N41" s="120">
        <f t="shared" si="4"/>
        <v>0</v>
      </c>
      <c r="O41" s="121">
        <f t="shared" si="5"/>
        <v>0</v>
      </c>
      <c r="P41" s="128"/>
      <c r="Q41" s="120"/>
      <c r="R41" s="120">
        <f t="shared" ref="R41:T41" si="45">$M$8*((0.45*P41/$J$14)+(0.55*Q41/$K$14))</f>
        <v>0</v>
      </c>
      <c r="S41" s="120">
        <f t="shared" si="45"/>
        <v>0</v>
      </c>
      <c r="T41" s="120">
        <f t="shared" si="45"/>
        <v>0</v>
      </c>
      <c r="U41" s="128"/>
      <c r="V41" s="120"/>
      <c r="W41" s="120"/>
      <c r="X41" s="120">
        <f t="shared" si="6"/>
        <v>0</v>
      </c>
      <c r="Y41" s="120">
        <f t="shared" si="7"/>
        <v>0</v>
      </c>
      <c r="Z41" s="121">
        <f t="shared" si="8"/>
        <v>0</v>
      </c>
      <c r="AA41" s="130">
        <f t="shared" si="9"/>
        <v>0</v>
      </c>
      <c r="AB41" s="88">
        <f t="shared" si="10"/>
        <v>0</v>
      </c>
      <c r="AC41" s="88">
        <f t="shared" si="11"/>
        <v>0</v>
      </c>
      <c r="AD41" s="88"/>
      <c r="AE41" s="88"/>
      <c r="AF41" s="88"/>
      <c r="AG41" s="105" t="e">
        <f t="shared" si="12"/>
        <v>#DIV/0!</v>
      </c>
      <c r="AH41" s="105" t="e">
        <f t="shared" si="13"/>
        <v>#DIV/0!</v>
      </c>
      <c r="AI41" s="105" t="e">
        <f t="shared" si="14"/>
        <v>#DIV/0!</v>
      </c>
      <c r="AK41" s="131"/>
      <c r="AL41" s="131"/>
    </row>
    <row r="42" spans="1:48" ht="15.75" hidden="1">
      <c r="A42" s="65">
        <v>29</v>
      </c>
      <c r="B42" s="66"/>
      <c r="C42" s="127"/>
      <c r="D42" s="128"/>
      <c r="E42" s="120"/>
      <c r="F42" s="88"/>
      <c r="G42" s="88">
        <f t="shared" si="15"/>
        <v>0</v>
      </c>
      <c r="H42" s="88">
        <f t="shared" si="1"/>
        <v>0</v>
      </c>
      <c r="I42" s="129">
        <f t="shared" si="2"/>
        <v>0</v>
      </c>
      <c r="J42" s="128"/>
      <c r="K42" s="120"/>
      <c r="L42" s="120"/>
      <c r="M42" s="120">
        <f t="shared" si="3"/>
        <v>0</v>
      </c>
      <c r="N42" s="120">
        <f t="shared" si="4"/>
        <v>0</v>
      </c>
      <c r="O42" s="121">
        <f t="shared" si="5"/>
        <v>0</v>
      </c>
      <c r="P42" s="128"/>
      <c r="Q42" s="120"/>
      <c r="R42" s="120">
        <f t="shared" ref="R42:T42" si="46">$M$8*((0.45*P42/$J$14)+(0.55*Q42/$K$14))</f>
        <v>0</v>
      </c>
      <c r="S42" s="120">
        <f t="shared" si="46"/>
        <v>0</v>
      </c>
      <c r="T42" s="120">
        <f t="shared" si="46"/>
        <v>0</v>
      </c>
      <c r="U42" s="128"/>
      <c r="V42" s="120"/>
      <c r="W42" s="120"/>
      <c r="X42" s="120">
        <f t="shared" si="6"/>
        <v>0</v>
      </c>
      <c r="Y42" s="120">
        <f t="shared" si="7"/>
        <v>0</v>
      </c>
      <c r="Z42" s="121">
        <f t="shared" si="8"/>
        <v>0</v>
      </c>
      <c r="AA42" s="130">
        <f t="shared" si="9"/>
        <v>0</v>
      </c>
      <c r="AB42" s="88">
        <f t="shared" si="10"/>
        <v>0</v>
      </c>
      <c r="AC42" s="88">
        <f t="shared" si="11"/>
        <v>0</v>
      </c>
      <c r="AD42" s="88"/>
      <c r="AE42" s="88"/>
      <c r="AF42" s="88"/>
      <c r="AG42" s="105" t="e">
        <f t="shared" si="12"/>
        <v>#DIV/0!</v>
      </c>
      <c r="AH42" s="105" t="e">
        <f t="shared" si="13"/>
        <v>#DIV/0!</v>
      </c>
      <c r="AI42" s="105" t="e">
        <f t="shared" si="14"/>
        <v>#DIV/0!</v>
      </c>
      <c r="AK42" s="131"/>
      <c r="AL42" s="131"/>
    </row>
    <row r="43" spans="1:48" ht="15.75" hidden="1">
      <c r="A43" s="65">
        <v>30</v>
      </c>
      <c r="B43" s="66"/>
      <c r="C43" s="127"/>
      <c r="D43" s="128"/>
      <c r="E43" s="120"/>
      <c r="F43" s="88"/>
      <c r="G43" s="88">
        <f t="shared" si="15"/>
        <v>0</v>
      </c>
      <c r="H43" s="88">
        <f t="shared" si="1"/>
        <v>0</v>
      </c>
      <c r="I43" s="129">
        <f t="shared" si="2"/>
        <v>0</v>
      </c>
      <c r="J43" s="128"/>
      <c r="K43" s="120"/>
      <c r="L43" s="120"/>
      <c r="M43" s="120">
        <f t="shared" si="3"/>
        <v>0</v>
      </c>
      <c r="N43" s="120">
        <f t="shared" si="4"/>
        <v>0</v>
      </c>
      <c r="O43" s="121">
        <f t="shared" si="5"/>
        <v>0</v>
      </c>
      <c r="P43" s="128"/>
      <c r="Q43" s="120"/>
      <c r="R43" s="120">
        <f t="shared" ref="R43:T43" si="47">$M$8*((0.45*P43/$J$14)+(0.55*Q43/$K$14))</f>
        <v>0</v>
      </c>
      <c r="S43" s="120">
        <f t="shared" si="47"/>
        <v>0</v>
      </c>
      <c r="T43" s="120">
        <f t="shared" si="47"/>
        <v>0</v>
      </c>
      <c r="U43" s="128"/>
      <c r="V43" s="120"/>
      <c r="W43" s="120"/>
      <c r="X43" s="120">
        <f t="shared" si="6"/>
        <v>0</v>
      </c>
      <c r="Y43" s="120">
        <f t="shared" si="7"/>
        <v>0</v>
      </c>
      <c r="Z43" s="121">
        <f t="shared" si="8"/>
        <v>0</v>
      </c>
      <c r="AA43" s="130">
        <f t="shared" si="9"/>
        <v>0</v>
      </c>
      <c r="AB43" s="88">
        <f t="shared" si="10"/>
        <v>0</v>
      </c>
      <c r="AC43" s="88">
        <f t="shared" si="11"/>
        <v>0</v>
      </c>
      <c r="AD43" s="88"/>
      <c r="AE43" s="88"/>
      <c r="AF43" s="88"/>
      <c r="AG43" s="105" t="e">
        <f t="shared" si="12"/>
        <v>#DIV/0!</v>
      </c>
      <c r="AH43" s="105" t="e">
        <f t="shared" si="13"/>
        <v>#DIV/0!</v>
      </c>
      <c r="AI43" s="105" t="e">
        <f t="shared" si="14"/>
        <v>#DIV/0!</v>
      </c>
      <c r="AK43" s="131"/>
      <c r="AL43" s="131"/>
    </row>
    <row r="44" spans="1:48" ht="16.5" hidden="1" thickBot="1">
      <c r="A44" s="65">
        <v>31</v>
      </c>
      <c r="B44" s="66"/>
      <c r="C44" s="127"/>
      <c r="D44" s="132"/>
      <c r="E44" s="133"/>
      <c r="F44" s="134"/>
      <c r="G44" s="134">
        <f t="shared" si="15"/>
        <v>0</v>
      </c>
      <c r="H44" s="134">
        <f t="shared" si="1"/>
        <v>0</v>
      </c>
      <c r="I44" s="135">
        <f t="shared" si="2"/>
        <v>0</v>
      </c>
      <c r="J44" s="132"/>
      <c r="K44" s="133"/>
      <c r="L44" s="133"/>
      <c r="M44" s="133">
        <f t="shared" si="3"/>
        <v>0</v>
      </c>
      <c r="N44" s="133">
        <f t="shared" si="4"/>
        <v>0</v>
      </c>
      <c r="O44" s="136">
        <f t="shared" si="5"/>
        <v>0</v>
      </c>
      <c r="P44" s="132"/>
      <c r="Q44" s="133"/>
      <c r="R44" s="120">
        <f t="shared" ref="R44:T44" si="48">$M$8*((0.45*P44/$J$14)+(0.55*Q44/$K$14))</f>
        <v>0</v>
      </c>
      <c r="S44" s="120">
        <f t="shared" si="48"/>
        <v>0</v>
      </c>
      <c r="T44" s="120">
        <f t="shared" si="48"/>
        <v>0</v>
      </c>
      <c r="U44" s="132"/>
      <c r="V44" s="133"/>
      <c r="W44" s="133"/>
      <c r="X44" s="133">
        <f t="shared" si="6"/>
        <v>0</v>
      </c>
      <c r="Y44" s="133">
        <f t="shared" si="7"/>
        <v>0</v>
      </c>
      <c r="Z44" s="136">
        <f t="shared" si="8"/>
        <v>0</v>
      </c>
      <c r="AA44" s="130">
        <f t="shared" si="9"/>
        <v>0</v>
      </c>
      <c r="AB44" s="88">
        <f t="shared" si="10"/>
        <v>0</v>
      </c>
      <c r="AC44" s="88">
        <f t="shared" si="11"/>
        <v>0</v>
      </c>
      <c r="AD44" s="88"/>
      <c r="AE44" s="88"/>
      <c r="AF44" s="88"/>
      <c r="AG44" s="105" t="e">
        <f t="shared" si="12"/>
        <v>#DIV/0!</v>
      </c>
      <c r="AH44" s="105" t="e">
        <f t="shared" si="13"/>
        <v>#DIV/0!</v>
      </c>
      <c r="AI44" s="105" t="e">
        <f t="shared" si="14"/>
        <v>#DIV/0!</v>
      </c>
      <c r="AK44" s="131"/>
      <c r="AL44" s="131"/>
    </row>
    <row r="45" spans="1:48" ht="34.700000000000003" customHeight="1">
      <c r="A45" s="137" t="s">
        <v>120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AA45" s="138"/>
      <c r="AB45" s="138"/>
      <c r="AC45" s="138"/>
      <c r="AD45" s="138"/>
      <c r="AE45" s="138"/>
      <c r="AF45" s="138"/>
      <c r="AK45" s="131"/>
      <c r="AL45" s="131"/>
    </row>
    <row r="46" spans="1:48" ht="29.25" customHeight="1"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AA46" s="138"/>
      <c r="AB46" s="138"/>
      <c r="AC46" s="138"/>
      <c r="AD46" s="138"/>
      <c r="AE46" s="138"/>
      <c r="AF46" s="138"/>
      <c r="AK46" s="131"/>
      <c r="AL46" s="131"/>
    </row>
    <row r="47" spans="1:48" ht="50.25" customHeight="1"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1"/>
      <c r="AL47" s="131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</row>
    <row r="48" spans="1:48">
      <c r="B48" s="140"/>
      <c r="C48" s="139"/>
      <c r="D48" s="139"/>
      <c r="E48" s="139"/>
      <c r="F48" s="138"/>
      <c r="G48" s="138"/>
      <c r="H48" s="138"/>
      <c r="I48" s="138"/>
      <c r="J48" s="139"/>
      <c r="K48" s="139"/>
      <c r="L48" s="139"/>
      <c r="M48" s="139"/>
      <c r="N48" s="139"/>
      <c r="O48" s="139"/>
      <c r="P48" s="139"/>
      <c r="Q48" s="139"/>
    </row>
    <row r="49" spans="2:17">
      <c r="B49" s="71"/>
      <c r="C49" s="139"/>
      <c r="D49" s="139"/>
      <c r="E49" s="139"/>
      <c r="F49" s="138"/>
      <c r="G49" s="138"/>
      <c r="H49" s="138"/>
      <c r="I49" s="138"/>
      <c r="J49" s="139"/>
      <c r="K49" s="139"/>
      <c r="L49" s="139"/>
      <c r="M49" s="139"/>
      <c r="N49" s="139"/>
      <c r="O49" s="139"/>
      <c r="P49" s="139"/>
      <c r="Q49" s="139"/>
    </row>
    <row r="50" spans="2:17">
      <c r="D50" s="91"/>
      <c r="E50" s="91"/>
      <c r="F50" s="141"/>
      <c r="G50" s="141"/>
      <c r="H50" s="141"/>
      <c r="I50" s="141"/>
      <c r="J50" s="142"/>
      <c r="K50" s="142"/>
      <c r="L50" s="142"/>
      <c r="M50" s="142"/>
      <c r="N50" s="142"/>
      <c r="O50" s="142"/>
      <c r="P50" s="142"/>
      <c r="Q50" s="142"/>
    </row>
    <row r="51" spans="2:17">
      <c r="D51" s="91"/>
      <c r="E51" s="91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</row>
    <row r="52" spans="2:17">
      <c r="B52" s="71"/>
      <c r="D52" s="91"/>
      <c r="E52" s="91"/>
      <c r="F52" s="143"/>
      <c r="G52" s="143"/>
      <c r="H52" s="143"/>
      <c r="I52" s="143"/>
      <c r="J52" s="139"/>
      <c r="K52" s="139"/>
      <c r="L52" s="139"/>
      <c r="M52" s="139"/>
      <c r="N52" s="139"/>
      <c r="O52" s="139"/>
      <c r="P52" s="139"/>
      <c r="Q52" s="139"/>
    </row>
    <row r="53" spans="2:17">
      <c r="D53" s="91"/>
      <c r="E53" s="91"/>
      <c r="J53" s="139"/>
      <c r="K53" s="93"/>
      <c r="Q53" s="139"/>
    </row>
    <row r="54" spans="2:17">
      <c r="D54" s="91"/>
      <c r="E54" s="91"/>
      <c r="K54" s="93"/>
    </row>
    <row r="55" spans="2:17">
      <c r="D55" s="91"/>
      <c r="E55" s="91"/>
      <c r="K55" s="93"/>
    </row>
    <row r="56" spans="2:17">
      <c r="D56" s="91"/>
      <c r="E56" s="91"/>
    </row>
    <row r="58" spans="2:17">
      <c r="B58" s="144"/>
      <c r="C58" s="144"/>
    </row>
  </sheetData>
  <autoFilter ref="B13:WWK47"/>
  <mergeCells count="36">
    <mergeCell ref="AD11:AF12"/>
    <mergeCell ref="AG11:AI12"/>
    <mergeCell ref="G12:I12"/>
    <mergeCell ref="M12:O12"/>
    <mergeCell ref="X12:Z12"/>
    <mergeCell ref="U11:Z11"/>
    <mergeCell ref="AA11:AC12"/>
    <mergeCell ref="P12:Q12"/>
    <mergeCell ref="X6:Z6"/>
    <mergeCell ref="L6:L8"/>
    <mergeCell ref="M6:O6"/>
    <mergeCell ref="A11:A13"/>
    <mergeCell ref="B11:B13"/>
    <mergeCell ref="D11:I11"/>
    <mergeCell ref="J11:O11"/>
    <mergeCell ref="P11:T11"/>
    <mergeCell ref="P6:P8"/>
    <mergeCell ref="Q6:Q8"/>
    <mergeCell ref="R6:T6"/>
    <mergeCell ref="U6:U8"/>
    <mergeCell ref="A4:M4"/>
    <mergeCell ref="B1:S1"/>
    <mergeCell ref="AJ11:AJ12"/>
    <mergeCell ref="AK11:AK12"/>
    <mergeCell ref="AL11:AL12"/>
    <mergeCell ref="B6:B8"/>
    <mergeCell ref="C6:C8"/>
    <mergeCell ref="D6:D8"/>
    <mergeCell ref="E6:E8"/>
    <mergeCell ref="F6:F8"/>
    <mergeCell ref="G6:I6"/>
    <mergeCell ref="J6:J8"/>
    <mergeCell ref="K6:K8"/>
    <mergeCell ref="B2:C3"/>
    <mergeCell ref="V6:V8"/>
    <mergeCell ref="W6:W8"/>
  </mergeCells>
  <pageMargins left="0.31496062992125984" right="0.31496062992125984" top="0.74803149606299213" bottom="0.74803149606299213" header="0.31496062992125984" footer="0.31496062992125984"/>
  <pageSetup paperSize="9" scale="51" fitToWidth="2" orientation="landscape" r:id="rId1"/>
  <colBreaks count="1" manualBreakCount="1">
    <brk id="20" max="5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A1:S38"/>
  <sheetViews>
    <sheetView workbookViewId="0">
      <selection activeCell="F20" sqref="F20"/>
    </sheetView>
  </sheetViews>
  <sheetFormatPr defaultRowHeight="12.75"/>
  <cols>
    <col min="1" max="1" width="4.140625" style="182" customWidth="1"/>
    <col min="2" max="2" width="20.42578125" style="182" customWidth="1"/>
    <col min="3" max="4" width="10.5703125" style="182" customWidth="1"/>
    <col min="5" max="5" width="11.42578125" style="182" customWidth="1"/>
    <col min="6" max="19" width="10.5703125" style="182" customWidth="1"/>
    <col min="20" max="16384" width="9.140625" style="182"/>
  </cols>
  <sheetData>
    <row r="1" spans="1:19" ht="25.5">
      <c r="A1" s="217" t="s">
        <v>100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</row>
    <row r="2" spans="1:19" ht="30.75">
      <c r="A2" s="217" t="s">
        <v>99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19" ht="19.5" thickBot="1">
      <c r="A3" s="227" t="s">
        <v>177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</row>
    <row r="4" spans="1:19" ht="27">
      <c r="A4" s="10"/>
      <c r="B4" s="10"/>
      <c r="C4" s="10"/>
      <c r="D4" s="60" t="s">
        <v>93</v>
      </c>
      <c r="E4" s="60" t="s">
        <v>94</v>
      </c>
      <c r="F4" s="60" t="s">
        <v>95</v>
      </c>
      <c r="G4" s="60" t="s">
        <v>96</v>
      </c>
      <c r="H4" s="60" t="s">
        <v>97</v>
      </c>
      <c r="I4" s="63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19.5" thickBot="1">
      <c r="A5" s="10"/>
      <c r="B5" s="10"/>
      <c r="C5" s="10"/>
      <c r="D5" s="183">
        <v>0.56499999999999995</v>
      </c>
      <c r="E5" s="183">
        <v>0.32900000000000001</v>
      </c>
      <c r="F5" s="183">
        <v>5.0000000000000001E-3</v>
      </c>
      <c r="G5" s="183">
        <v>0.1</v>
      </c>
      <c r="H5" s="61">
        <f>1-D5-E5-F5-G5</f>
        <v>1.0000000000000286E-3</v>
      </c>
      <c r="I5" s="64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ht="13.15" customHeight="1">
      <c r="A6" s="219" t="s">
        <v>0</v>
      </c>
      <c r="B6" s="219" t="s">
        <v>5</v>
      </c>
      <c r="C6" s="219" t="s">
        <v>3</v>
      </c>
      <c r="D6" s="219" t="s">
        <v>85</v>
      </c>
      <c r="E6" s="219" t="s">
        <v>91</v>
      </c>
      <c r="F6" s="219" t="s">
        <v>88</v>
      </c>
      <c r="G6" s="219" t="s">
        <v>87</v>
      </c>
      <c r="H6" s="219" t="s">
        <v>125</v>
      </c>
      <c r="I6" s="221" t="s">
        <v>79</v>
      </c>
      <c r="J6" s="222"/>
      <c r="K6" s="222"/>
      <c r="L6" s="222"/>
      <c r="M6" s="223"/>
      <c r="N6" s="224" t="s">
        <v>84</v>
      </c>
      <c r="O6" s="225"/>
      <c r="P6" s="225"/>
      <c r="Q6" s="225"/>
      <c r="R6" s="226"/>
      <c r="S6" s="218" t="s">
        <v>89</v>
      </c>
    </row>
    <row r="7" spans="1:19" ht="104.85" customHeight="1">
      <c r="A7" s="220"/>
      <c r="B7" s="220"/>
      <c r="C7" s="220"/>
      <c r="D7" s="220"/>
      <c r="E7" s="220"/>
      <c r="F7" s="220"/>
      <c r="G7" s="220"/>
      <c r="H7" s="220"/>
      <c r="I7" s="41" t="s">
        <v>80</v>
      </c>
      <c r="J7" s="41" t="s">
        <v>92</v>
      </c>
      <c r="K7" s="41" t="s">
        <v>82</v>
      </c>
      <c r="L7" s="41" t="s">
        <v>83</v>
      </c>
      <c r="M7" s="41" t="s">
        <v>98</v>
      </c>
      <c r="N7" s="41" t="s">
        <v>80</v>
      </c>
      <c r="O7" s="41" t="s">
        <v>92</v>
      </c>
      <c r="P7" s="41" t="s">
        <v>82</v>
      </c>
      <c r="Q7" s="41" t="s">
        <v>83</v>
      </c>
      <c r="R7" s="41" t="s">
        <v>98</v>
      </c>
      <c r="S7" s="218"/>
    </row>
    <row r="8" spans="1:19">
      <c r="A8" s="42">
        <f>COUNT(C9:C38)</f>
        <v>10</v>
      </c>
      <c r="B8" s="43" t="s">
        <v>1</v>
      </c>
      <c r="C8" s="44">
        <f t="shared" ref="C8:H8" si="0">SUM(C9:C38)</f>
        <v>12096</v>
      </c>
      <c r="D8" s="44">
        <f t="shared" si="0"/>
        <v>59917</v>
      </c>
      <c r="E8" s="44">
        <f t="shared" si="0"/>
        <v>141950.40000000002</v>
      </c>
      <c r="F8" s="44">
        <f t="shared" si="0"/>
        <v>1601.8</v>
      </c>
      <c r="G8" s="44">
        <f t="shared" si="0"/>
        <v>7274.0999999999995</v>
      </c>
      <c r="H8" s="44">
        <f t="shared" si="0"/>
        <v>724.1</v>
      </c>
      <c r="I8" s="67">
        <f t="shared" ref="I8:Q8" si="1">MAX(I9:I38)</f>
        <v>17.861111111111111</v>
      </c>
      <c r="J8" s="67">
        <f t="shared" si="1"/>
        <v>15.136761487964989</v>
      </c>
      <c r="K8" s="67">
        <f t="shared" si="1"/>
        <v>0.59139072847682117</v>
      </c>
      <c r="L8" s="67">
        <f t="shared" si="1"/>
        <v>1.4502088554720134</v>
      </c>
      <c r="M8" s="67">
        <f t="shared" si="1"/>
        <v>0.25718901453957993</v>
      </c>
      <c r="N8" s="67">
        <f t="shared" si="1"/>
        <v>0.56499999999999995</v>
      </c>
      <c r="O8" s="67">
        <f t="shared" si="1"/>
        <v>0.32900000000000001</v>
      </c>
      <c r="P8" s="67">
        <f t="shared" si="1"/>
        <v>5.0000000000000001E-3</v>
      </c>
      <c r="Q8" s="67">
        <f t="shared" si="1"/>
        <v>0.1</v>
      </c>
      <c r="R8" s="67">
        <f>MAX(R9:R38)</f>
        <v>1.0000000000000286E-3</v>
      </c>
      <c r="S8" s="44"/>
    </row>
    <row r="9" spans="1:19" ht="15.75">
      <c r="A9" s="49">
        <v>1</v>
      </c>
      <c r="B9" s="70" t="s">
        <v>127</v>
      </c>
      <c r="C9" s="184">
        <v>1501</v>
      </c>
      <c r="D9" s="150">
        <f>SUM('выборка расходов'!K9)</f>
        <v>4569.5</v>
      </c>
      <c r="E9" s="150">
        <f>SUM('выборка расходов'!S9)</f>
        <v>8975.4000000000015</v>
      </c>
      <c r="F9" s="150">
        <f>SUM('выборка расходов'!V9)</f>
        <v>121.5</v>
      </c>
      <c r="G9" s="150">
        <f>SUM('выборка расходов'!Z9)</f>
        <v>1335.5</v>
      </c>
      <c r="H9" s="150">
        <f>SUM('выборка расходов'!AA9)</f>
        <v>275.39999999999998</v>
      </c>
      <c r="I9" s="68">
        <f>IF($C9=0, ,D9/$C9)</f>
        <v>3.0443037974683542</v>
      </c>
      <c r="J9" s="68">
        <f>IF($C9=0, ,E9/$C9)</f>
        <v>5.9796135909393744</v>
      </c>
      <c r="K9" s="68">
        <f>IF($C9=0, ,F9/$C9)</f>
        <v>8.094603597601599E-2</v>
      </c>
      <c r="L9" s="68">
        <f>IF($C9=0, ,G9/$C9)</f>
        <v>0.88974017321785481</v>
      </c>
      <c r="M9" s="68">
        <f>IF($C9=0, ,H9/$C9)</f>
        <v>0.18347768154563623</v>
      </c>
      <c r="N9" s="68">
        <f>I9/I$8*D$5</f>
        <v>9.6300372069216683E-2</v>
      </c>
      <c r="O9" s="68">
        <f>J9/J$8*E$5</f>
        <v>0.12996788467488368</v>
      </c>
      <c r="P9" s="68">
        <f>K9/K$8*F$5</f>
        <v>6.8437018098423368E-4</v>
      </c>
      <c r="Q9" s="68">
        <f>L9/L$8*G$5</f>
        <v>6.1352554141469687E-2</v>
      </c>
      <c r="R9" s="68">
        <f>M9/M$8*H$5</f>
        <v>7.1339626178864375E-4</v>
      </c>
      <c r="S9" s="185">
        <f>IF(C9=0,0,N9+O9+P9+Q9+R9)</f>
        <v>0.28901857732834291</v>
      </c>
    </row>
    <row r="10" spans="1:19" ht="15.75">
      <c r="A10" s="49">
        <v>2</v>
      </c>
      <c r="B10" s="70" t="s">
        <v>129</v>
      </c>
      <c r="C10" s="184">
        <v>216</v>
      </c>
      <c r="D10" s="150">
        <f>SUM('выборка расходов'!K11)</f>
        <v>3858</v>
      </c>
      <c r="E10" s="150">
        <f>SUM('выборка расходов'!S11)</f>
        <v>2711.2999999999997</v>
      </c>
      <c r="F10" s="150">
        <f>SUM('выборка расходов'!V11)</f>
        <v>0</v>
      </c>
      <c r="G10" s="150">
        <f>SUM('выборка расходов'!Z11)</f>
        <v>67.5</v>
      </c>
      <c r="H10" s="150">
        <f>SUM('выборка расходов'!AA11)</f>
        <v>0</v>
      </c>
      <c r="I10" s="68">
        <f t="shared" ref="I10:L10" si="2">IF($C10=0, ,D10/$C10)</f>
        <v>17.861111111111111</v>
      </c>
      <c r="J10" s="68">
        <f t="shared" si="2"/>
        <v>12.552314814814814</v>
      </c>
      <c r="K10" s="68">
        <f t="shared" si="2"/>
        <v>0</v>
      </c>
      <c r="L10" s="68">
        <f t="shared" si="2"/>
        <v>0.3125</v>
      </c>
      <c r="M10" s="68">
        <f t="shared" ref="M10:M38" si="3">IF($C10=0, ,H10/$C10)</f>
        <v>0</v>
      </c>
      <c r="N10" s="68">
        <f t="shared" ref="N10:N38" si="4">I10/I$8*D$5</f>
        <v>0.56499999999999995</v>
      </c>
      <c r="O10" s="68">
        <f t="shared" ref="O10:O38" si="5">J10/J$8*E$5</f>
        <v>0.27282662657778844</v>
      </c>
      <c r="P10" s="68">
        <f t="shared" ref="P10:P38" si="6">K10/K$8*F$5</f>
        <v>0</v>
      </c>
      <c r="Q10" s="68">
        <f t="shared" ref="Q10:Q38" si="7">L10/L$8*G$5</f>
        <v>2.1548620312229969E-2</v>
      </c>
      <c r="R10" s="68">
        <f t="shared" ref="R10:R38" si="8">M10/M$8*H$5</f>
        <v>0</v>
      </c>
      <c r="S10" s="185">
        <f t="shared" ref="S10:S38" si="9">IF(C10=0,0,N10+O10+P10+Q10+R10)</f>
        <v>0.85937524689001832</v>
      </c>
    </row>
    <row r="11" spans="1:19" ht="15.75">
      <c r="A11" s="49">
        <v>3</v>
      </c>
      <c r="B11" s="70" t="s">
        <v>130</v>
      </c>
      <c r="C11" s="184">
        <v>2869</v>
      </c>
      <c r="D11" s="150">
        <f>SUM('выборка расходов'!K12)</f>
        <v>13139.3</v>
      </c>
      <c r="E11" s="150">
        <f>SUM('выборка расходов'!S12)</f>
        <v>14481.3</v>
      </c>
      <c r="F11" s="150">
        <f>SUM('выборка расходов'!V12)</f>
        <v>184.5</v>
      </c>
      <c r="G11" s="150">
        <f>SUM('выборка расходов'!Z12)</f>
        <v>1229.0999999999999</v>
      </c>
      <c r="H11" s="150">
        <f>SUM('выборка расходов'!AA12)</f>
        <v>0</v>
      </c>
      <c r="I11" s="68">
        <f t="shared" ref="I11:I26" si="10">IF($C11=0, ,D11/$C11)</f>
        <v>4.579749041477867</v>
      </c>
      <c r="J11" s="68">
        <f t="shared" ref="J11:J23" si="11">IF($C11=0, ,E11/$C11)</f>
        <v>5.0475078424538165</v>
      </c>
      <c r="K11" s="68">
        <f t="shared" ref="K11:K23" si="12">IF($C11=0, ,F11/$C11)</f>
        <v>6.4308121296619031E-2</v>
      </c>
      <c r="L11" s="68">
        <f t="shared" ref="L11:L23" si="13">IF($C11=0, ,G11/$C11)</f>
        <v>0.42840711049146041</v>
      </c>
      <c r="M11" s="68">
        <f t="shared" si="3"/>
        <v>0</v>
      </c>
      <c r="N11" s="68">
        <f t="shared" si="4"/>
        <v>0.14487106610211478</v>
      </c>
      <c r="O11" s="68">
        <f t="shared" si="5"/>
        <v>0.10970841295792681</v>
      </c>
      <c r="P11" s="68">
        <f t="shared" si="6"/>
        <v>5.4370248128720461E-4</v>
      </c>
      <c r="Q11" s="68">
        <f t="shared" si="7"/>
        <v>2.9541062921728103E-2</v>
      </c>
      <c r="R11" s="68">
        <f t="shared" si="8"/>
        <v>0</v>
      </c>
      <c r="S11" s="185">
        <f t="shared" si="9"/>
        <v>0.28466424446305688</v>
      </c>
    </row>
    <row r="12" spans="1:19" ht="31.5">
      <c r="A12" s="49">
        <v>4</v>
      </c>
      <c r="B12" s="70" t="s">
        <v>131</v>
      </c>
      <c r="C12" s="184">
        <v>1197</v>
      </c>
      <c r="D12" s="150">
        <f>SUM('выборка расходов'!K13)</f>
        <v>4392.5999999999995</v>
      </c>
      <c r="E12" s="150">
        <f>SUM('выборка расходов'!S13)</f>
        <v>7743.4000000000005</v>
      </c>
      <c r="F12" s="150">
        <f>SUM('выборка расходов'!V13)</f>
        <v>0</v>
      </c>
      <c r="G12" s="150">
        <f>SUM('выборка расходов'!Z13)</f>
        <v>1735.9</v>
      </c>
      <c r="H12" s="150">
        <f>SUM('выборка расходов'!AA13)</f>
        <v>110.2</v>
      </c>
      <c r="I12" s="68">
        <f t="shared" si="10"/>
        <v>3.6696741854636588</v>
      </c>
      <c r="J12" s="68">
        <f t="shared" si="11"/>
        <v>6.4690058479532171</v>
      </c>
      <c r="K12" s="68">
        <f t="shared" si="12"/>
        <v>0</v>
      </c>
      <c r="L12" s="68">
        <f t="shared" si="13"/>
        <v>1.4502088554720134</v>
      </c>
      <c r="M12" s="68">
        <f t="shared" si="3"/>
        <v>9.2063492063492069E-2</v>
      </c>
      <c r="N12" s="68">
        <f t="shared" si="4"/>
        <v>0.11608269507360935</v>
      </c>
      <c r="O12" s="68">
        <f t="shared" si="5"/>
        <v>0.14060490585577304</v>
      </c>
      <c r="P12" s="68">
        <f t="shared" si="6"/>
        <v>0</v>
      </c>
      <c r="Q12" s="68">
        <f t="shared" si="7"/>
        <v>0.1</v>
      </c>
      <c r="R12" s="68">
        <f t="shared" si="8"/>
        <v>3.5796043710617606E-4</v>
      </c>
      <c r="S12" s="185">
        <f t="shared" si="9"/>
        <v>0.35704556136648852</v>
      </c>
    </row>
    <row r="13" spans="1:19" ht="15.75">
      <c r="A13" s="49">
        <v>5</v>
      </c>
      <c r="B13" s="70" t="s">
        <v>132</v>
      </c>
      <c r="C13" s="184">
        <v>619</v>
      </c>
      <c r="D13" s="150">
        <f>SUM('выборка расходов'!K14)</f>
        <v>5406.2999999999993</v>
      </c>
      <c r="E13" s="150">
        <f>SUM('выборка расходов'!S14)</f>
        <v>5136.2000000000007</v>
      </c>
      <c r="F13" s="150">
        <f>SUM('выборка расходов'!V14)</f>
        <v>126.5</v>
      </c>
      <c r="G13" s="150">
        <f>SUM('выборка расходов'!Z14)</f>
        <v>708.40000000000009</v>
      </c>
      <c r="H13" s="150">
        <f>SUM('выборка расходов'!AA14)</f>
        <v>159.19999999999999</v>
      </c>
      <c r="I13" s="68">
        <f t="shared" si="10"/>
        <v>8.7339256865912756</v>
      </c>
      <c r="J13" s="68">
        <f t="shared" si="11"/>
        <v>8.2975767366720525</v>
      </c>
      <c r="K13" s="68">
        <f t="shared" si="12"/>
        <v>0.20436187399030695</v>
      </c>
      <c r="L13" s="68">
        <f t="shared" si="13"/>
        <v>1.144426494345719</v>
      </c>
      <c r="M13" s="68">
        <f t="shared" si="3"/>
        <v>0.25718901453957993</v>
      </c>
      <c r="N13" s="68">
        <f t="shared" si="4"/>
        <v>0.27628001316526679</v>
      </c>
      <c r="O13" s="68">
        <f t="shared" si="5"/>
        <v>0.18034919480865241</v>
      </c>
      <c r="P13" s="68">
        <f t="shared" si="6"/>
        <v>1.7278075572528752E-3</v>
      </c>
      <c r="Q13" s="68">
        <f t="shared" si="7"/>
        <v>7.8914598406119349E-2</v>
      </c>
      <c r="R13" s="68">
        <f t="shared" si="8"/>
        <v>1.0000000000000286E-3</v>
      </c>
      <c r="S13" s="185">
        <f t="shared" si="9"/>
        <v>0.53827161393729139</v>
      </c>
    </row>
    <row r="14" spans="1:19" ht="15.75">
      <c r="A14" s="49">
        <v>6</v>
      </c>
      <c r="B14" s="70" t="s">
        <v>133</v>
      </c>
      <c r="C14" s="184">
        <v>1300</v>
      </c>
      <c r="D14" s="150">
        <f>SUM('выборка расходов'!K15)</f>
        <v>7179.4</v>
      </c>
      <c r="E14" s="150">
        <f>SUM('выборка расходов'!S15)</f>
        <v>9409</v>
      </c>
      <c r="F14" s="150">
        <f>SUM('выборка расходов'!V15)</f>
        <v>100</v>
      </c>
      <c r="G14" s="150">
        <f>SUM('выборка расходов'!Z15)</f>
        <v>121</v>
      </c>
      <c r="H14" s="150">
        <f>SUM('выборка расходов'!AA15)</f>
        <v>0</v>
      </c>
      <c r="I14" s="68">
        <f t="shared" si="10"/>
        <v>5.522615384615384</v>
      </c>
      <c r="J14" s="68">
        <f t="shared" si="11"/>
        <v>7.2376923076923081</v>
      </c>
      <c r="K14" s="68">
        <f t="shared" si="12"/>
        <v>7.6923076923076927E-2</v>
      </c>
      <c r="L14" s="68">
        <f t="shared" si="13"/>
        <v>9.3076923076923071E-2</v>
      </c>
      <c r="M14" s="68">
        <f t="shared" si="3"/>
        <v>0</v>
      </c>
      <c r="N14" s="68">
        <f t="shared" si="4"/>
        <v>0.17469672927383653</v>
      </c>
      <c r="O14" s="68">
        <f t="shared" si="5"/>
        <v>0.15731243245948126</v>
      </c>
      <c r="P14" s="68">
        <f t="shared" si="6"/>
        <v>6.5035748126453621E-4</v>
      </c>
      <c r="Q14" s="68">
        <f t="shared" si="7"/>
        <v>6.4181736806888023E-3</v>
      </c>
      <c r="R14" s="68">
        <f t="shared" si="8"/>
        <v>0</v>
      </c>
      <c r="S14" s="185">
        <f t="shared" si="9"/>
        <v>0.33907769289527112</v>
      </c>
    </row>
    <row r="15" spans="1:19" ht="15.75">
      <c r="A15" s="49">
        <v>7</v>
      </c>
      <c r="B15" s="70" t="s">
        <v>134</v>
      </c>
      <c r="C15" s="184">
        <v>1589</v>
      </c>
      <c r="D15" s="150">
        <f>SUM('выборка расходов'!K16)</f>
        <v>6235.9000000000005</v>
      </c>
      <c r="E15" s="150">
        <f>SUM('выборка расходов'!S16)</f>
        <v>8681</v>
      </c>
      <c r="F15" s="150">
        <f>SUM('выборка расходов'!V16)</f>
        <v>216</v>
      </c>
      <c r="G15" s="150">
        <f>SUM('выборка расходов'!Z16)</f>
        <v>1551.9</v>
      </c>
      <c r="H15" s="150">
        <f>SUM('выборка расходов'!AA16)</f>
        <v>16.7</v>
      </c>
      <c r="I15" s="68">
        <f t="shared" si="10"/>
        <v>3.9244178728760231</v>
      </c>
      <c r="J15" s="68">
        <f t="shared" si="11"/>
        <v>5.4631843926998114</v>
      </c>
      <c r="K15" s="68">
        <f t="shared" si="12"/>
        <v>0.13593455003146634</v>
      </c>
      <c r="L15" s="68">
        <f t="shared" si="13"/>
        <v>0.97665198237885464</v>
      </c>
      <c r="M15" s="68">
        <f t="shared" si="3"/>
        <v>1.0509754562617999E-2</v>
      </c>
      <c r="N15" s="68">
        <f t="shared" si="4"/>
        <v>0.12414099461010622</v>
      </c>
      <c r="O15" s="68">
        <f t="shared" si="5"/>
        <v>0.11874321113055218</v>
      </c>
      <c r="P15" s="68">
        <f t="shared" si="6"/>
        <v>1.1492786704788028E-3</v>
      </c>
      <c r="Q15" s="68">
        <f t="shared" si="7"/>
        <v>6.734560878549968E-2</v>
      </c>
      <c r="R15" s="68">
        <f t="shared" si="8"/>
        <v>4.0863932627265879E-5</v>
      </c>
      <c r="S15" s="185">
        <f t="shared" si="9"/>
        <v>0.31141995712926412</v>
      </c>
    </row>
    <row r="16" spans="1:19" ht="15.75">
      <c r="A16" s="49">
        <v>8</v>
      </c>
      <c r="B16" s="70" t="s">
        <v>135</v>
      </c>
      <c r="C16" s="184">
        <v>457</v>
      </c>
      <c r="D16" s="150">
        <f>SUM('выборка расходов'!K17)</f>
        <v>4249.3</v>
      </c>
      <c r="E16" s="150">
        <f>SUM('выборка расходов'!S17)</f>
        <v>6917.5</v>
      </c>
      <c r="F16" s="150">
        <f>SUM('выборка расходов'!V17)</f>
        <v>0</v>
      </c>
      <c r="G16" s="150">
        <f>SUM('выборка расходов'!Z17)</f>
        <v>155</v>
      </c>
      <c r="H16" s="150">
        <f>SUM('выборка расходов'!AA17)</f>
        <v>3.1</v>
      </c>
      <c r="I16" s="68">
        <f t="shared" si="10"/>
        <v>9.2982494529540478</v>
      </c>
      <c r="J16" s="68">
        <f t="shared" si="11"/>
        <v>15.136761487964989</v>
      </c>
      <c r="K16" s="68">
        <f t="shared" si="12"/>
        <v>0</v>
      </c>
      <c r="L16" s="68">
        <f t="shared" si="13"/>
        <v>0.33916849015317285</v>
      </c>
      <c r="M16" s="68">
        <f t="shared" si="3"/>
        <v>6.7833698030634578E-3</v>
      </c>
      <c r="N16" s="68">
        <f t="shared" si="4"/>
        <v>0.2941312501914235</v>
      </c>
      <c r="O16" s="68">
        <f t="shared" si="5"/>
        <v>0.32900000000000001</v>
      </c>
      <c r="P16" s="68">
        <f t="shared" si="6"/>
        <v>0</v>
      </c>
      <c r="Q16" s="68">
        <f t="shared" si="7"/>
        <v>2.3387561651785696E-2</v>
      </c>
      <c r="R16" s="68">
        <f t="shared" si="8"/>
        <v>2.6375037111158301E-5</v>
      </c>
      <c r="S16" s="185">
        <f t="shared" si="9"/>
        <v>0.64654518688032026</v>
      </c>
    </row>
    <row r="17" spans="1:19" ht="15.75">
      <c r="A17" s="49">
        <v>9</v>
      </c>
      <c r="B17" s="70" t="s">
        <v>136</v>
      </c>
      <c r="C17" s="184">
        <v>1593</v>
      </c>
      <c r="D17" s="150">
        <f>SUM('выборка расходов'!K18)</f>
        <v>6375.7</v>
      </c>
      <c r="E17" s="150">
        <f>SUM('выборка расходов'!S18)</f>
        <v>4774.7999999999993</v>
      </c>
      <c r="F17" s="150">
        <f>SUM('выборка расходов'!V18)</f>
        <v>406.8</v>
      </c>
      <c r="G17" s="150">
        <f>SUM('выборка расходов'!Z18)</f>
        <v>369.8</v>
      </c>
      <c r="H17" s="150">
        <f>SUM('выборка расходов'!AA18)</f>
        <v>61.3</v>
      </c>
      <c r="I17" s="68">
        <f t="shared" si="10"/>
        <v>4.0023226616446959</v>
      </c>
      <c r="J17" s="68">
        <f t="shared" si="11"/>
        <v>2.9973634651600749</v>
      </c>
      <c r="K17" s="68">
        <f t="shared" si="12"/>
        <v>0.25536723163841807</v>
      </c>
      <c r="L17" s="68">
        <f t="shared" si="13"/>
        <v>0.23214061519146265</v>
      </c>
      <c r="M17" s="68">
        <f t="shared" si="3"/>
        <v>3.8480853735091018E-2</v>
      </c>
      <c r="N17" s="68">
        <f t="shared" si="4"/>
        <v>0.1266053544912179</v>
      </c>
      <c r="O17" s="68">
        <f t="shared" si="5"/>
        <v>6.5148187795766213E-2</v>
      </c>
      <c r="P17" s="68">
        <f t="shared" si="6"/>
        <v>2.1590398643561663E-3</v>
      </c>
      <c r="Q17" s="68">
        <f t="shared" si="7"/>
        <v>1.60073919225866E-2</v>
      </c>
      <c r="R17" s="68">
        <f t="shared" si="8"/>
        <v>1.4962090742476146E-4</v>
      </c>
      <c r="S17" s="185">
        <f t="shared" si="9"/>
        <v>0.21006959498135164</v>
      </c>
    </row>
    <row r="18" spans="1:19" ht="15.75">
      <c r="A18" s="49">
        <v>10</v>
      </c>
      <c r="B18" s="70" t="s">
        <v>137</v>
      </c>
      <c r="C18" s="184">
        <v>755</v>
      </c>
      <c r="D18" s="150">
        <f>SUM('выборка расходов'!K19)</f>
        <v>4511</v>
      </c>
      <c r="E18" s="150">
        <f>SUM('выборка расходов'!S19)</f>
        <v>2145.3000000000002</v>
      </c>
      <c r="F18" s="150">
        <f>SUM('выборка расходов'!V19)</f>
        <v>446.5</v>
      </c>
      <c r="G18" s="150">
        <f>SUM('выборка расходов'!Z19)</f>
        <v>0</v>
      </c>
      <c r="H18" s="150">
        <f>SUM('выборка расходов'!AA19)</f>
        <v>98.2</v>
      </c>
      <c r="I18" s="68">
        <f t="shared" si="10"/>
        <v>5.9748344370860931</v>
      </c>
      <c r="J18" s="68">
        <f t="shared" si="11"/>
        <v>2.8414569536423842</v>
      </c>
      <c r="K18" s="68">
        <f t="shared" si="12"/>
        <v>0.59139072847682117</v>
      </c>
      <c r="L18" s="68">
        <f t="shared" si="13"/>
        <v>0</v>
      </c>
      <c r="M18" s="68">
        <f>IF($C18=0, ,H18/$C18)</f>
        <v>0.1300662251655629</v>
      </c>
      <c r="N18" s="68">
        <f t="shared" si="4"/>
        <v>0.18900176119802661</v>
      </c>
      <c r="O18" s="68">
        <f t="shared" si="5"/>
        <v>6.1759534130971218E-2</v>
      </c>
      <c r="P18" s="68">
        <f t="shared" si="6"/>
        <v>5.0000000000000001E-3</v>
      </c>
      <c r="Q18" s="68">
        <f t="shared" si="7"/>
        <v>0</v>
      </c>
      <c r="R18" s="68">
        <f>M18/M$8*H$5</f>
        <v>5.0572232021033764E-4</v>
      </c>
      <c r="S18" s="185">
        <f t="shared" si="9"/>
        <v>0.25626701764920817</v>
      </c>
    </row>
    <row r="19" spans="1:19" hidden="1">
      <c r="A19" s="49">
        <v>12</v>
      </c>
      <c r="B19" s="155"/>
      <c r="C19" s="150"/>
      <c r="D19" s="150">
        <v>0</v>
      </c>
      <c r="E19" s="150">
        <f>SUM('выборка расходов'!S20)</f>
        <v>70975.200000000012</v>
      </c>
      <c r="F19" s="150"/>
      <c r="G19" s="150"/>
      <c r="H19" s="150"/>
      <c r="I19" s="53">
        <f t="shared" si="10"/>
        <v>0</v>
      </c>
      <c r="J19" s="53">
        <f t="shared" si="11"/>
        <v>0</v>
      </c>
      <c r="K19" s="53">
        <f t="shared" si="12"/>
        <v>0</v>
      </c>
      <c r="L19" s="53">
        <f t="shared" si="13"/>
        <v>0</v>
      </c>
      <c r="M19" s="53">
        <f t="shared" si="3"/>
        <v>0</v>
      </c>
      <c r="N19" s="53">
        <f t="shared" si="4"/>
        <v>0</v>
      </c>
      <c r="O19" s="53">
        <f t="shared" si="5"/>
        <v>0</v>
      </c>
      <c r="P19" s="53">
        <f t="shared" si="6"/>
        <v>0</v>
      </c>
      <c r="Q19" s="53">
        <f t="shared" si="7"/>
        <v>0</v>
      </c>
      <c r="R19" s="53">
        <f t="shared" si="8"/>
        <v>0</v>
      </c>
      <c r="S19" s="186">
        <f>IF(C19=0,0,N19+O19+P19+Q19+R19)</f>
        <v>0</v>
      </c>
    </row>
    <row r="20" spans="1:19" hidden="1">
      <c r="A20" s="49">
        <v>13</v>
      </c>
      <c r="B20" s="155"/>
      <c r="C20" s="150"/>
      <c r="D20" s="150">
        <v>0</v>
      </c>
      <c r="E20" s="150">
        <f>SUM('выборка расходов'!S21)</f>
        <v>0</v>
      </c>
      <c r="F20" s="150"/>
      <c r="G20" s="150"/>
      <c r="H20" s="150"/>
      <c r="I20" s="53">
        <f t="shared" si="10"/>
        <v>0</v>
      </c>
      <c r="J20" s="53">
        <f t="shared" si="11"/>
        <v>0</v>
      </c>
      <c r="K20" s="53">
        <f t="shared" si="12"/>
        <v>0</v>
      </c>
      <c r="L20" s="53">
        <f t="shared" si="13"/>
        <v>0</v>
      </c>
      <c r="M20" s="53">
        <f t="shared" si="3"/>
        <v>0</v>
      </c>
      <c r="N20" s="53">
        <f t="shared" si="4"/>
        <v>0</v>
      </c>
      <c r="O20" s="53">
        <f t="shared" si="5"/>
        <v>0</v>
      </c>
      <c r="P20" s="53">
        <f t="shared" si="6"/>
        <v>0</v>
      </c>
      <c r="Q20" s="53">
        <f t="shared" si="7"/>
        <v>0</v>
      </c>
      <c r="R20" s="53">
        <f t="shared" si="8"/>
        <v>0</v>
      </c>
      <c r="S20" s="186">
        <f t="shared" si="9"/>
        <v>0</v>
      </c>
    </row>
    <row r="21" spans="1:19" hidden="1">
      <c r="A21" s="49">
        <v>14</v>
      </c>
      <c r="B21" s="155"/>
      <c r="C21" s="150"/>
      <c r="D21" s="150">
        <v>0</v>
      </c>
      <c r="E21" s="150">
        <f>SUM('выборка расходов'!S22)</f>
        <v>0</v>
      </c>
      <c r="F21" s="150"/>
      <c r="G21" s="150"/>
      <c r="H21" s="150"/>
      <c r="I21" s="53">
        <f t="shared" si="10"/>
        <v>0</v>
      </c>
      <c r="J21" s="53">
        <f t="shared" si="11"/>
        <v>0</v>
      </c>
      <c r="K21" s="53">
        <f t="shared" si="12"/>
        <v>0</v>
      </c>
      <c r="L21" s="53">
        <f t="shared" si="13"/>
        <v>0</v>
      </c>
      <c r="M21" s="53">
        <f t="shared" si="3"/>
        <v>0</v>
      </c>
      <c r="N21" s="53">
        <f t="shared" si="4"/>
        <v>0</v>
      </c>
      <c r="O21" s="53">
        <f t="shared" si="5"/>
        <v>0</v>
      </c>
      <c r="P21" s="53">
        <f t="shared" si="6"/>
        <v>0</v>
      </c>
      <c r="Q21" s="53">
        <f t="shared" si="7"/>
        <v>0</v>
      </c>
      <c r="R21" s="53">
        <f t="shared" si="8"/>
        <v>0</v>
      </c>
      <c r="S21" s="186">
        <f t="shared" si="9"/>
        <v>0</v>
      </c>
    </row>
    <row r="22" spans="1:19" hidden="1">
      <c r="A22" s="49">
        <v>15</v>
      </c>
      <c r="B22" s="155"/>
      <c r="C22" s="150"/>
      <c r="D22" s="150">
        <v>0</v>
      </c>
      <c r="E22" s="150">
        <f>SUM('выборка расходов'!S23)</f>
        <v>0</v>
      </c>
      <c r="F22" s="150"/>
      <c r="G22" s="150"/>
      <c r="H22" s="150"/>
      <c r="I22" s="53">
        <f t="shared" si="10"/>
        <v>0</v>
      </c>
      <c r="J22" s="53">
        <f t="shared" si="11"/>
        <v>0</v>
      </c>
      <c r="K22" s="53">
        <f t="shared" si="12"/>
        <v>0</v>
      </c>
      <c r="L22" s="53">
        <f t="shared" si="13"/>
        <v>0</v>
      </c>
      <c r="M22" s="53">
        <f t="shared" si="3"/>
        <v>0</v>
      </c>
      <c r="N22" s="53">
        <f t="shared" si="4"/>
        <v>0</v>
      </c>
      <c r="O22" s="53">
        <f t="shared" si="5"/>
        <v>0</v>
      </c>
      <c r="P22" s="53">
        <f t="shared" si="6"/>
        <v>0</v>
      </c>
      <c r="Q22" s="53">
        <f t="shared" si="7"/>
        <v>0</v>
      </c>
      <c r="R22" s="53">
        <f t="shared" si="8"/>
        <v>0</v>
      </c>
      <c r="S22" s="186">
        <f t="shared" si="9"/>
        <v>0</v>
      </c>
    </row>
    <row r="23" spans="1:19" hidden="1">
      <c r="A23" s="49">
        <v>16</v>
      </c>
      <c r="B23" s="155"/>
      <c r="C23" s="150"/>
      <c r="D23" s="150">
        <v>0</v>
      </c>
      <c r="E23" s="150">
        <f>SUM('выборка расходов'!S24)</f>
        <v>0</v>
      </c>
      <c r="F23" s="150"/>
      <c r="G23" s="150"/>
      <c r="H23" s="150"/>
      <c r="I23" s="53">
        <f t="shared" si="10"/>
        <v>0</v>
      </c>
      <c r="J23" s="53">
        <f t="shared" si="11"/>
        <v>0</v>
      </c>
      <c r="K23" s="53">
        <f t="shared" si="12"/>
        <v>0</v>
      </c>
      <c r="L23" s="53">
        <f t="shared" si="13"/>
        <v>0</v>
      </c>
      <c r="M23" s="53">
        <f t="shared" si="3"/>
        <v>0</v>
      </c>
      <c r="N23" s="53">
        <f t="shared" si="4"/>
        <v>0</v>
      </c>
      <c r="O23" s="53">
        <f t="shared" si="5"/>
        <v>0</v>
      </c>
      <c r="P23" s="53">
        <f t="shared" si="6"/>
        <v>0</v>
      </c>
      <c r="Q23" s="53">
        <f t="shared" si="7"/>
        <v>0</v>
      </c>
      <c r="R23" s="53">
        <f t="shared" si="8"/>
        <v>0</v>
      </c>
      <c r="S23" s="186">
        <f t="shared" si="9"/>
        <v>0</v>
      </c>
    </row>
    <row r="24" spans="1:19" hidden="1">
      <c r="A24" s="49">
        <v>17</v>
      </c>
      <c r="B24" s="155"/>
      <c r="C24" s="150"/>
      <c r="D24" s="150">
        <v>0</v>
      </c>
      <c r="E24" s="150">
        <f>SUM('выборка расходов'!S25)</f>
        <v>0</v>
      </c>
      <c r="F24" s="150"/>
      <c r="G24" s="150"/>
      <c r="H24" s="150"/>
      <c r="I24" s="53">
        <f t="shared" si="10"/>
        <v>0</v>
      </c>
      <c r="J24" s="53">
        <f t="shared" ref="J24:L26" si="14">IF($C24=0, ,E24/$C24)</f>
        <v>0</v>
      </c>
      <c r="K24" s="53">
        <f t="shared" si="14"/>
        <v>0</v>
      </c>
      <c r="L24" s="53">
        <f t="shared" si="14"/>
        <v>0</v>
      </c>
      <c r="M24" s="53">
        <f t="shared" si="3"/>
        <v>0</v>
      </c>
      <c r="N24" s="53">
        <f t="shared" si="4"/>
        <v>0</v>
      </c>
      <c r="O24" s="53">
        <f t="shared" si="5"/>
        <v>0</v>
      </c>
      <c r="P24" s="53">
        <f t="shared" si="6"/>
        <v>0</v>
      </c>
      <c r="Q24" s="53">
        <f t="shared" si="7"/>
        <v>0</v>
      </c>
      <c r="R24" s="53">
        <f t="shared" si="8"/>
        <v>0</v>
      </c>
      <c r="S24" s="186">
        <f t="shared" si="9"/>
        <v>0</v>
      </c>
    </row>
    <row r="25" spans="1:19" hidden="1">
      <c r="A25" s="49">
        <v>18</v>
      </c>
      <c r="B25" s="155"/>
      <c r="C25" s="150"/>
      <c r="D25" s="150">
        <v>0</v>
      </c>
      <c r="E25" s="150">
        <f>SUM('выборка расходов'!S26)</f>
        <v>0</v>
      </c>
      <c r="F25" s="150"/>
      <c r="G25" s="150"/>
      <c r="H25" s="150"/>
      <c r="I25" s="53">
        <f t="shared" si="10"/>
        <v>0</v>
      </c>
      <c r="J25" s="53">
        <f t="shared" si="14"/>
        <v>0</v>
      </c>
      <c r="K25" s="53">
        <f t="shared" si="14"/>
        <v>0</v>
      </c>
      <c r="L25" s="53">
        <f t="shared" si="14"/>
        <v>0</v>
      </c>
      <c r="M25" s="53">
        <f t="shared" si="3"/>
        <v>0</v>
      </c>
      <c r="N25" s="53">
        <f t="shared" si="4"/>
        <v>0</v>
      </c>
      <c r="O25" s="53">
        <f t="shared" si="5"/>
        <v>0</v>
      </c>
      <c r="P25" s="53">
        <f t="shared" si="6"/>
        <v>0</v>
      </c>
      <c r="Q25" s="53">
        <f>L25/L$8*G$5</f>
        <v>0</v>
      </c>
      <c r="R25" s="53">
        <f>M25/M$8*H$5</f>
        <v>0</v>
      </c>
      <c r="S25" s="186">
        <f>IF(C25=0,0,N25+O25+P25+Q25+R25)</f>
        <v>0</v>
      </c>
    </row>
    <row r="26" spans="1:19" hidden="1">
      <c r="A26" s="49">
        <v>19</v>
      </c>
      <c r="B26" s="155"/>
      <c r="C26" s="150"/>
      <c r="D26" s="150">
        <v>0</v>
      </c>
      <c r="E26" s="150">
        <f>SUM('выборка расходов'!S27)</f>
        <v>0</v>
      </c>
      <c r="F26" s="150"/>
      <c r="G26" s="150"/>
      <c r="H26" s="150"/>
      <c r="I26" s="53">
        <f t="shared" si="10"/>
        <v>0</v>
      </c>
      <c r="J26" s="53">
        <f t="shared" si="14"/>
        <v>0</v>
      </c>
      <c r="K26" s="53">
        <f t="shared" si="14"/>
        <v>0</v>
      </c>
      <c r="L26" s="53">
        <f t="shared" si="14"/>
        <v>0</v>
      </c>
      <c r="M26" s="53">
        <f t="shared" si="3"/>
        <v>0</v>
      </c>
      <c r="N26" s="53">
        <f t="shared" si="4"/>
        <v>0</v>
      </c>
      <c r="O26" s="53">
        <f t="shared" si="5"/>
        <v>0</v>
      </c>
      <c r="P26" s="53">
        <f t="shared" si="6"/>
        <v>0</v>
      </c>
      <c r="Q26" s="53">
        <f t="shared" si="7"/>
        <v>0</v>
      </c>
      <c r="R26" s="53">
        <f t="shared" si="8"/>
        <v>0</v>
      </c>
      <c r="S26" s="186">
        <f t="shared" si="9"/>
        <v>0</v>
      </c>
    </row>
    <row r="27" spans="1:19" hidden="1">
      <c r="A27" s="49">
        <v>20</v>
      </c>
      <c r="B27" s="155"/>
      <c r="C27" s="150"/>
      <c r="D27" s="150">
        <v>0</v>
      </c>
      <c r="E27" s="150">
        <f>SUM('выборка расходов'!S28)</f>
        <v>0</v>
      </c>
      <c r="F27" s="150"/>
      <c r="G27" s="150"/>
      <c r="H27" s="150"/>
      <c r="I27" s="53">
        <f t="shared" ref="I27:L38" si="15">IF($C27=0, ,D27/$C27)</f>
        <v>0</v>
      </c>
      <c r="J27" s="53">
        <f t="shared" si="15"/>
        <v>0</v>
      </c>
      <c r="K27" s="53">
        <f t="shared" si="15"/>
        <v>0</v>
      </c>
      <c r="L27" s="53">
        <f t="shared" si="15"/>
        <v>0</v>
      </c>
      <c r="M27" s="53">
        <f t="shared" si="3"/>
        <v>0</v>
      </c>
      <c r="N27" s="53">
        <f t="shared" si="4"/>
        <v>0</v>
      </c>
      <c r="O27" s="53">
        <f t="shared" si="5"/>
        <v>0</v>
      </c>
      <c r="P27" s="53">
        <f t="shared" si="6"/>
        <v>0</v>
      </c>
      <c r="Q27" s="53">
        <f t="shared" si="7"/>
        <v>0</v>
      </c>
      <c r="R27" s="53">
        <f t="shared" si="8"/>
        <v>0</v>
      </c>
      <c r="S27" s="186">
        <f t="shared" si="9"/>
        <v>0</v>
      </c>
    </row>
    <row r="28" spans="1:19" hidden="1">
      <c r="A28" s="49">
        <v>21</v>
      </c>
      <c r="B28" s="155"/>
      <c r="C28" s="150"/>
      <c r="D28" s="150">
        <v>0</v>
      </c>
      <c r="E28" s="150">
        <f>SUM('выборка расходов'!S29)</f>
        <v>0</v>
      </c>
      <c r="F28" s="150"/>
      <c r="G28" s="150"/>
      <c r="H28" s="150"/>
      <c r="I28" s="53">
        <f t="shared" si="15"/>
        <v>0</v>
      </c>
      <c r="J28" s="53">
        <f t="shared" si="15"/>
        <v>0</v>
      </c>
      <c r="K28" s="53">
        <f t="shared" si="15"/>
        <v>0</v>
      </c>
      <c r="L28" s="53">
        <f t="shared" si="15"/>
        <v>0</v>
      </c>
      <c r="M28" s="53">
        <f t="shared" si="3"/>
        <v>0</v>
      </c>
      <c r="N28" s="53">
        <f t="shared" si="4"/>
        <v>0</v>
      </c>
      <c r="O28" s="53">
        <f t="shared" si="5"/>
        <v>0</v>
      </c>
      <c r="P28" s="53">
        <f t="shared" si="6"/>
        <v>0</v>
      </c>
      <c r="Q28" s="53">
        <f t="shared" si="7"/>
        <v>0</v>
      </c>
      <c r="R28" s="53">
        <f t="shared" si="8"/>
        <v>0</v>
      </c>
      <c r="S28" s="186">
        <f t="shared" si="9"/>
        <v>0</v>
      </c>
    </row>
    <row r="29" spans="1:19" hidden="1">
      <c r="A29" s="49">
        <v>22</v>
      </c>
      <c r="B29" s="155"/>
      <c r="C29" s="150"/>
      <c r="D29" s="150">
        <v>0</v>
      </c>
      <c r="E29" s="150">
        <f>SUM('выборка расходов'!S30)</f>
        <v>0</v>
      </c>
      <c r="F29" s="150"/>
      <c r="G29" s="150"/>
      <c r="H29" s="150"/>
      <c r="I29" s="53">
        <f t="shared" si="15"/>
        <v>0</v>
      </c>
      <c r="J29" s="53">
        <f t="shared" si="15"/>
        <v>0</v>
      </c>
      <c r="K29" s="53">
        <f t="shared" si="15"/>
        <v>0</v>
      </c>
      <c r="L29" s="53">
        <f t="shared" si="15"/>
        <v>0</v>
      </c>
      <c r="M29" s="53">
        <f t="shared" si="3"/>
        <v>0</v>
      </c>
      <c r="N29" s="53">
        <f t="shared" si="4"/>
        <v>0</v>
      </c>
      <c r="O29" s="53">
        <f t="shared" si="5"/>
        <v>0</v>
      </c>
      <c r="P29" s="53">
        <f t="shared" si="6"/>
        <v>0</v>
      </c>
      <c r="Q29" s="53">
        <f t="shared" si="7"/>
        <v>0</v>
      </c>
      <c r="R29" s="53">
        <f t="shared" si="8"/>
        <v>0</v>
      </c>
      <c r="S29" s="186">
        <f t="shared" si="9"/>
        <v>0</v>
      </c>
    </row>
    <row r="30" spans="1:19" hidden="1">
      <c r="A30" s="49">
        <v>23</v>
      </c>
      <c r="B30" s="155"/>
      <c r="C30" s="150"/>
      <c r="D30" s="150">
        <v>0</v>
      </c>
      <c r="E30" s="150">
        <f>SUM('выборка расходов'!S31)</f>
        <v>0</v>
      </c>
      <c r="F30" s="150"/>
      <c r="G30" s="150"/>
      <c r="H30" s="150"/>
      <c r="I30" s="53">
        <f t="shared" si="15"/>
        <v>0</v>
      </c>
      <c r="J30" s="53">
        <f t="shared" si="15"/>
        <v>0</v>
      </c>
      <c r="K30" s="53">
        <f t="shared" si="15"/>
        <v>0</v>
      </c>
      <c r="L30" s="53">
        <f t="shared" si="15"/>
        <v>0</v>
      </c>
      <c r="M30" s="53">
        <f t="shared" si="3"/>
        <v>0</v>
      </c>
      <c r="N30" s="53">
        <f t="shared" si="4"/>
        <v>0</v>
      </c>
      <c r="O30" s="53">
        <f t="shared" si="5"/>
        <v>0</v>
      </c>
      <c r="P30" s="53">
        <f t="shared" si="6"/>
        <v>0</v>
      </c>
      <c r="Q30" s="53">
        <f t="shared" si="7"/>
        <v>0</v>
      </c>
      <c r="R30" s="53">
        <f t="shared" si="8"/>
        <v>0</v>
      </c>
      <c r="S30" s="186">
        <f t="shared" si="9"/>
        <v>0</v>
      </c>
    </row>
    <row r="31" spans="1:19" hidden="1">
      <c r="A31" s="49">
        <v>24</v>
      </c>
      <c r="B31" s="155"/>
      <c r="C31" s="150"/>
      <c r="D31" s="150">
        <v>0</v>
      </c>
      <c r="E31" s="150">
        <f>SUM('выборка расходов'!S32)</f>
        <v>0</v>
      </c>
      <c r="F31" s="150"/>
      <c r="G31" s="150"/>
      <c r="H31" s="150"/>
      <c r="I31" s="53">
        <f t="shared" si="15"/>
        <v>0</v>
      </c>
      <c r="J31" s="53">
        <f t="shared" si="15"/>
        <v>0</v>
      </c>
      <c r="K31" s="53">
        <f t="shared" si="15"/>
        <v>0</v>
      </c>
      <c r="L31" s="53">
        <f t="shared" si="15"/>
        <v>0</v>
      </c>
      <c r="M31" s="53">
        <f t="shared" si="3"/>
        <v>0</v>
      </c>
      <c r="N31" s="53">
        <f t="shared" si="4"/>
        <v>0</v>
      </c>
      <c r="O31" s="53">
        <f t="shared" si="5"/>
        <v>0</v>
      </c>
      <c r="P31" s="53">
        <f t="shared" si="6"/>
        <v>0</v>
      </c>
      <c r="Q31" s="53">
        <f t="shared" si="7"/>
        <v>0</v>
      </c>
      <c r="R31" s="53">
        <f t="shared" si="8"/>
        <v>0</v>
      </c>
      <c r="S31" s="186">
        <f t="shared" si="9"/>
        <v>0</v>
      </c>
    </row>
    <row r="32" spans="1:19" hidden="1">
      <c r="A32" s="49">
        <v>25</v>
      </c>
      <c r="B32" s="155"/>
      <c r="C32" s="150"/>
      <c r="D32" s="150">
        <v>0</v>
      </c>
      <c r="E32" s="150">
        <f>SUM('выборка расходов'!S33)</f>
        <v>0</v>
      </c>
      <c r="F32" s="150"/>
      <c r="G32" s="150"/>
      <c r="H32" s="150"/>
      <c r="I32" s="53">
        <f t="shared" si="15"/>
        <v>0</v>
      </c>
      <c r="J32" s="53">
        <f t="shared" si="15"/>
        <v>0</v>
      </c>
      <c r="K32" s="53">
        <f t="shared" si="15"/>
        <v>0</v>
      </c>
      <c r="L32" s="53">
        <f t="shared" si="15"/>
        <v>0</v>
      </c>
      <c r="M32" s="53">
        <f t="shared" si="3"/>
        <v>0</v>
      </c>
      <c r="N32" s="53">
        <f t="shared" si="4"/>
        <v>0</v>
      </c>
      <c r="O32" s="53">
        <f t="shared" si="5"/>
        <v>0</v>
      </c>
      <c r="P32" s="53">
        <f t="shared" si="6"/>
        <v>0</v>
      </c>
      <c r="Q32" s="53">
        <f t="shared" si="7"/>
        <v>0</v>
      </c>
      <c r="R32" s="53">
        <f t="shared" si="8"/>
        <v>0</v>
      </c>
      <c r="S32" s="186">
        <f t="shared" si="9"/>
        <v>0</v>
      </c>
    </row>
    <row r="33" spans="1:19" hidden="1">
      <c r="A33" s="49">
        <v>26</v>
      </c>
      <c r="B33" s="155"/>
      <c r="C33" s="150"/>
      <c r="D33" s="150">
        <v>0</v>
      </c>
      <c r="E33" s="150">
        <f>SUM('выборка расходов'!S34)</f>
        <v>0</v>
      </c>
      <c r="F33" s="150"/>
      <c r="G33" s="150"/>
      <c r="H33" s="150"/>
      <c r="I33" s="53">
        <f t="shared" si="15"/>
        <v>0</v>
      </c>
      <c r="J33" s="53">
        <f t="shared" si="15"/>
        <v>0</v>
      </c>
      <c r="K33" s="53">
        <f t="shared" si="15"/>
        <v>0</v>
      </c>
      <c r="L33" s="53">
        <f t="shared" si="15"/>
        <v>0</v>
      </c>
      <c r="M33" s="53">
        <f t="shared" si="3"/>
        <v>0</v>
      </c>
      <c r="N33" s="53">
        <f t="shared" si="4"/>
        <v>0</v>
      </c>
      <c r="O33" s="53">
        <f t="shared" si="5"/>
        <v>0</v>
      </c>
      <c r="P33" s="53">
        <f t="shared" si="6"/>
        <v>0</v>
      </c>
      <c r="Q33" s="53">
        <f t="shared" si="7"/>
        <v>0</v>
      </c>
      <c r="R33" s="53">
        <f t="shared" si="8"/>
        <v>0</v>
      </c>
      <c r="S33" s="186">
        <f t="shared" si="9"/>
        <v>0</v>
      </c>
    </row>
    <row r="34" spans="1:19" hidden="1">
      <c r="A34" s="49">
        <v>27</v>
      </c>
      <c r="B34" s="155"/>
      <c r="C34" s="150"/>
      <c r="D34" s="150">
        <v>0</v>
      </c>
      <c r="E34" s="150">
        <f>SUM('выборка расходов'!S35)</f>
        <v>0</v>
      </c>
      <c r="F34" s="150"/>
      <c r="G34" s="150"/>
      <c r="H34" s="150"/>
      <c r="I34" s="53">
        <f t="shared" si="15"/>
        <v>0</v>
      </c>
      <c r="J34" s="53">
        <f t="shared" si="15"/>
        <v>0</v>
      </c>
      <c r="K34" s="53">
        <f t="shared" si="15"/>
        <v>0</v>
      </c>
      <c r="L34" s="53">
        <f t="shared" si="15"/>
        <v>0</v>
      </c>
      <c r="M34" s="53">
        <f t="shared" si="3"/>
        <v>0</v>
      </c>
      <c r="N34" s="53">
        <f t="shared" si="4"/>
        <v>0</v>
      </c>
      <c r="O34" s="53">
        <f t="shared" si="5"/>
        <v>0</v>
      </c>
      <c r="P34" s="53">
        <f t="shared" si="6"/>
        <v>0</v>
      </c>
      <c r="Q34" s="53">
        <f t="shared" si="7"/>
        <v>0</v>
      </c>
      <c r="R34" s="53">
        <f t="shared" si="8"/>
        <v>0</v>
      </c>
      <c r="S34" s="186">
        <f t="shared" si="9"/>
        <v>0</v>
      </c>
    </row>
    <row r="35" spans="1:19" hidden="1">
      <c r="A35" s="49">
        <v>28</v>
      </c>
      <c r="B35" s="155"/>
      <c r="C35" s="150"/>
      <c r="D35" s="150">
        <v>0</v>
      </c>
      <c r="E35" s="150">
        <f>SUM('выборка расходов'!S36)</f>
        <v>0</v>
      </c>
      <c r="F35" s="150"/>
      <c r="G35" s="150"/>
      <c r="H35" s="150"/>
      <c r="I35" s="53">
        <f t="shared" si="15"/>
        <v>0</v>
      </c>
      <c r="J35" s="53">
        <f t="shared" si="15"/>
        <v>0</v>
      </c>
      <c r="K35" s="53">
        <f t="shared" si="15"/>
        <v>0</v>
      </c>
      <c r="L35" s="53">
        <f t="shared" si="15"/>
        <v>0</v>
      </c>
      <c r="M35" s="53">
        <f t="shared" si="3"/>
        <v>0</v>
      </c>
      <c r="N35" s="53">
        <f t="shared" si="4"/>
        <v>0</v>
      </c>
      <c r="O35" s="53">
        <f t="shared" si="5"/>
        <v>0</v>
      </c>
      <c r="P35" s="53">
        <f t="shared" si="6"/>
        <v>0</v>
      </c>
      <c r="Q35" s="53">
        <f t="shared" si="7"/>
        <v>0</v>
      </c>
      <c r="R35" s="53">
        <f t="shared" si="8"/>
        <v>0</v>
      </c>
      <c r="S35" s="186">
        <f t="shared" si="9"/>
        <v>0</v>
      </c>
    </row>
    <row r="36" spans="1:19" hidden="1">
      <c r="A36" s="49">
        <v>29</v>
      </c>
      <c r="B36" s="155"/>
      <c r="C36" s="150"/>
      <c r="D36" s="150">
        <v>0</v>
      </c>
      <c r="E36" s="150">
        <f>SUM('выборка расходов'!S37)</f>
        <v>0</v>
      </c>
      <c r="F36" s="150"/>
      <c r="G36" s="150"/>
      <c r="H36" s="150"/>
      <c r="I36" s="53">
        <f t="shared" si="15"/>
        <v>0</v>
      </c>
      <c r="J36" s="53">
        <f t="shared" si="15"/>
        <v>0</v>
      </c>
      <c r="K36" s="53">
        <f t="shared" si="15"/>
        <v>0</v>
      </c>
      <c r="L36" s="53">
        <f t="shared" si="15"/>
        <v>0</v>
      </c>
      <c r="M36" s="53">
        <f t="shared" si="3"/>
        <v>0</v>
      </c>
      <c r="N36" s="53">
        <f t="shared" si="4"/>
        <v>0</v>
      </c>
      <c r="O36" s="53">
        <f t="shared" si="5"/>
        <v>0</v>
      </c>
      <c r="P36" s="53">
        <f t="shared" si="6"/>
        <v>0</v>
      </c>
      <c r="Q36" s="53">
        <f t="shared" si="7"/>
        <v>0</v>
      </c>
      <c r="R36" s="53">
        <f t="shared" si="8"/>
        <v>0</v>
      </c>
      <c r="S36" s="186">
        <f t="shared" si="9"/>
        <v>0</v>
      </c>
    </row>
    <row r="37" spans="1:19" hidden="1">
      <c r="A37" s="49">
        <v>30</v>
      </c>
      <c r="B37" s="155"/>
      <c r="C37" s="150"/>
      <c r="D37" s="150">
        <v>0</v>
      </c>
      <c r="E37" s="150">
        <f>SUM('выборка расходов'!S38)</f>
        <v>0</v>
      </c>
      <c r="F37" s="150"/>
      <c r="G37" s="150"/>
      <c r="H37" s="150"/>
      <c r="I37" s="53">
        <f t="shared" si="15"/>
        <v>0</v>
      </c>
      <c r="J37" s="53">
        <f t="shared" si="15"/>
        <v>0</v>
      </c>
      <c r="K37" s="53">
        <f t="shared" si="15"/>
        <v>0</v>
      </c>
      <c r="L37" s="53">
        <f t="shared" si="15"/>
        <v>0</v>
      </c>
      <c r="M37" s="53">
        <f t="shared" si="3"/>
        <v>0</v>
      </c>
      <c r="N37" s="53">
        <f t="shared" si="4"/>
        <v>0</v>
      </c>
      <c r="O37" s="53">
        <f t="shared" si="5"/>
        <v>0</v>
      </c>
      <c r="P37" s="53">
        <f t="shared" si="6"/>
        <v>0</v>
      </c>
      <c r="Q37" s="53">
        <f t="shared" si="7"/>
        <v>0</v>
      </c>
      <c r="R37" s="53">
        <f t="shared" si="8"/>
        <v>0</v>
      </c>
      <c r="S37" s="186">
        <f t="shared" si="9"/>
        <v>0</v>
      </c>
    </row>
    <row r="38" spans="1:19" hidden="1">
      <c r="A38" s="49">
        <v>31</v>
      </c>
      <c r="B38" s="155"/>
      <c r="C38" s="150"/>
      <c r="D38" s="150">
        <v>0</v>
      </c>
      <c r="E38" s="150">
        <f>SUM('выборка расходов'!S39)</f>
        <v>0</v>
      </c>
      <c r="F38" s="150"/>
      <c r="G38" s="150"/>
      <c r="H38" s="150"/>
      <c r="I38" s="53">
        <f t="shared" si="15"/>
        <v>0</v>
      </c>
      <c r="J38" s="53">
        <f t="shared" si="15"/>
        <v>0</v>
      </c>
      <c r="K38" s="53">
        <f t="shared" si="15"/>
        <v>0</v>
      </c>
      <c r="L38" s="53">
        <f t="shared" si="15"/>
        <v>0</v>
      </c>
      <c r="M38" s="53">
        <f t="shared" si="3"/>
        <v>0</v>
      </c>
      <c r="N38" s="53">
        <f t="shared" si="4"/>
        <v>0</v>
      </c>
      <c r="O38" s="53">
        <f t="shared" si="5"/>
        <v>0</v>
      </c>
      <c r="P38" s="53">
        <f t="shared" si="6"/>
        <v>0</v>
      </c>
      <c r="Q38" s="53">
        <f t="shared" si="7"/>
        <v>0</v>
      </c>
      <c r="R38" s="53">
        <f t="shared" si="8"/>
        <v>0</v>
      </c>
      <c r="S38" s="186">
        <f t="shared" si="9"/>
        <v>0</v>
      </c>
    </row>
  </sheetData>
  <mergeCells count="14">
    <mergeCell ref="A1:S1"/>
    <mergeCell ref="A2:S2"/>
    <mergeCell ref="S6:S7"/>
    <mergeCell ref="G6:G7"/>
    <mergeCell ref="H6:H7"/>
    <mergeCell ref="I6:M6"/>
    <mergeCell ref="N6:R6"/>
    <mergeCell ref="A3:S3"/>
    <mergeCell ref="A6:A7"/>
    <mergeCell ref="B6:B7"/>
    <mergeCell ref="C6:C7"/>
    <mergeCell ref="D6:D7"/>
    <mergeCell ref="E6:E7"/>
    <mergeCell ref="F6:F7"/>
  </mergeCells>
  <conditionalFormatting sqref="I9:R38">
    <cfRule type="cellIs" dxfId="6" priority="5" operator="equal">
      <formula>I$8</formula>
    </cfRule>
  </conditionalFormatting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zoomScale="85" workbookViewId="0">
      <pane xSplit="2" ySplit="10" topLeftCell="C11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/>
  <cols>
    <col min="1" max="1" width="6" style="8" bestFit="1" customWidth="1"/>
    <col min="2" max="2" width="39.140625" style="8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>
      <c r="A1" s="228" t="s">
        <v>9</v>
      </c>
      <c r="B1" s="228"/>
      <c r="C1" s="228"/>
      <c r="D1" s="228"/>
      <c r="E1" s="228"/>
      <c r="F1" s="228"/>
      <c r="G1" s="228"/>
      <c r="H1" s="228"/>
    </row>
    <row r="2" spans="1:13" ht="30.75">
      <c r="A2" s="228" t="s">
        <v>44</v>
      </c>
      <c r="B2" s="228"/>
      <c r="C2" s="228"/>
      <c r="D2" s="228"/>
      <c r="E2" s="228"/>
      <c r="F2" s="228"/>
      <c r="G2" s="228"/>
      <c r="H2" s="228"/>
    </row>
    <row r="3" spans="1:13" ht="20.25">
      <c r="A3" s="229" t="s">
        <v>4</v>
      </c>
      <c r="B3" s="229"/>
      <c r="C3" s="229"/>
      <c r="D3" s="229"/>
      <c r="E3" s="229"/>
      <c r="F3" s="229"/>
      <c r="G3" s="229"/>
      <c r="H3" s="229"/>
    </row>
    <row r="4" spans="1:13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>
      <c r="B5" s="19"/>
      <c r="C5" s="227" t="s">
        <v>43</v>
      </c>
      <c r="D5" s="227"/>
      <c r="E5" s="227"/>
      <c r="F5" s="227"/>
      <c r="G5" s="227"/>
      <c r="H5" s="227"/>
      <c r="J5" s="32"/>
      <c r="K5" s="32"/>
      <c r="L5" s="32"/>
      <c r="M5" s="32"/>
    </row>
    <row r="6" spans="1:13" s="11" customFormat="1" ht="27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>
      <c r="A7" s="10"/>
      <c r="B7" s="10"/>
      <c r="C7" s="10"/>
      <c r="D7" s="16">
        <v>0.3</v>
      </c>
      <c r="E7" s="16">
        <v>0.5</v>
      </c>
      <c r="F7" s="16">
        <v>0.1</v>
      </c>
      <c r="G7" s="17">
        <f>1-D7-E7-F7</f>
        <v>9.999999999999995E-2</v>
      </c>
      <c r="H7" s="10"/>
      <c r="I7" s="10"/>
      <c r="J7" s="33"/>
      <c r="K7" s="33"/>
      <c r="L7" s="33"/>
      <c r="M7" s="33"/>
    </row>
    <row r="8" spans="1:13" s="11" customFormat="1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>
      <c r="A9" s="2" t="s">
        <v>0</v>
      </c>
      <c r="B9" s="2" t="s">
        <v>5</v>
      </c>
      <c r="C9" s="3" t="s">
        <v>3</v>
      </c>
      <c r="D9" s="4" t="s">
        <v>39</v>
      </c>
      <c r="E9" s="4" t="s">
        <v>74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>
      <c r="A10" s="20">
        <f>COUNT(C11:C27)</f>
        <v>17</v>
      </c>
      <c r="B10" s="21" t="s">
        <v>1</v>
      </c>
      <c r="C10" s="22">
        <f>SUM(C11:C27)</f>
        <v>48186</v>
      </c>
      <c r="D10" s="23">
        <f>MAX(D11:D27)</f>
        <v>44182</v>
      </c>
      <c r="E10" s="23">
        <f>MAX(E11:E27)</f>
        <v>44408</v>
      </c>
      <c r="F10" s="23">
        <f>MAX(F11:F27)</f>
        <v>15052</v>
      </c>
      <c r="G10" s="23">
        <f>MAX(G11:G27)</f>
        <v>2690</v>
      </c>
      <c r="H10" s="24"/>
      <c r="J10" s="35">
        <f>SUM(J11:J27)</f>
        <v>130885.46714981167</v>
      </c>
      <c r="K10" s="38">
        <f>J10/C10</f>
        <v>2.716255077196938</v>
      </c>
      <c r="L10" s="39">
        <v>0.75380384613123186</v>
      </c>
      <c r="M10" s="35">
        <f>SUM(M11:M27)</f>
        <v>89999.999999999971</v>
      </c>
    </row>
    <row r="11" spans="1:13" s="7" customFormat="1">
      <c r="A11" s="25">
        <v>1</v>
      </c>
      <c r="B11" s="26" t="s">
        <v>57</v>
      </c>
      <c r="C11" s="27">
        <v>1727</v>
      </c>
      <c r="D11" s="28">
        <v>8461</v>
      </c>
      <c r="E11" s="28">
        <v>6649</v>
      </c>
      <c r="F11" s="28">
        <v>75</v>
      </c>
      <c r="G11" s="28">
        <v>179</v>
      </c>
      <c r="H11" s="29">
        <f>IF(C11=0,0,(D11*$D$7+E11*$E$7+F11*$F$7+G11*$G$7)/C11)</f>
        <v>3.4094962362478278</v>
      </c>
      <c r="J11" s="36">
        <v>888</v>
      </c>
      <c r="K11" s="37">
        <f>J11/C11</f>
        <v>0.51418645049218292</v>
      </c>
      <c r="L11" s="37">
        <f>K11/H11</f>
        <v>0.15081009476580282</v>
      </c>
      <c r="M11" s="36">
        <f>IF($K$10*($L$10-L11)*H11*C11&lt;0,0,$K$10*($L$10-L11)*H11*C11)</f>
        <v>9644.1935070235704</v>
      </c>
    </row>
    <row r="12" spans="1:13" s="7" customFormat="1">
      <c r="A12" s="25">
        <v>2</v>
      </c>
      <c r="B12" s="26" t="s">
        <v>58</v>
      </c>
      <c r="C12" s="27">
        <v>320</v>
      </c>
      <c r="D12" s="28">
        <v>4146</v>
      </c>
      <c r="E12" s="28">
        <v>0</v>
      </c>
      <c r="F12" s="28">
        <v>0</v>
      </c>
      <c r="G12" s="28">
        <v>0</v>
      </c>
      <c r="H12" s="29">
        <f t="shared" ref="H12:H27" si="0">IF(C12=0,0,(D12*$D$7+E12*$E$7+F12*$F$7+G12*$G$7)/C12)</f>
        <v>3.8868749999999999</v>
      </c>
      <c r="J12" s="36">
        <v>54</v>
      </c>
      <c r="K12" s="37">
        <f t="shared" ref="K12:K27" si="1">J12/C12</f>
        <v>0.16875000000000001</v>
      </c>
      <c r="L12" s="37">
        <f t="shared" ref="L12:L27" si="2">K12/H12</f>
        <v>4.3415340086830685E-2</v>
      </c>
      <c r="M12" s="36">
        <f t="shared" ref="M12:M27" si="3">IF($K$10*($L$10-L12)*H12*C12&lt;0,0,$K$10*($L$10-L12)*H12*C12)</f>
        <v>2400.0319853115975</v>
      </c>
    </row>
    <row r="13" spans="1:13" s="7" customFormat="1">
      <c r="A13" s="25">
        <v>3</v>
      </c>
      <c r="B13" s="26" t="s">
        <v>59</v>
      </c>
      <c r="C13" s="27">
        <v>1930</v>
      </c>
      <c r="D13" s="28">
        <v>8972</v>
      </c>
      <c r="E13" s="28">
        <v>6044</v>
      </c>
      <c r="F13" s="28">
        <v>1221</v>
      </c>
      <c r="G13" s="28">
        <v>32</v>
      </c>
      <c r="H13" s="29">
        <f t="shared" si="0"/>
        <v>3.025336787564767</v>
      </c>
      <c r="J13" s="36">
        <v>4606.1060000000007</v>
      </c>
      <c r="K13" s="37">
        <f t="shared" si="1"/>
        <v>2.3865834196891194</v>
      </c>
      <c r="L13" s="37">
        <f t="shared" si="2"/>
        <v>0.78886536847693922</v>
      </c>
      <c r="M13" s="36">
        <f t="shared" si="3"/>
        <v>0</v>
      </c>
    </row>
    <row r="14" spans="1:13" s="7" customFormat="1">
      <c r="A14" s="25">
        <v>4</v>
      </c>
      <c r="B14" s="26" t="s">
        <v>60</v>
      </c>
      <c r="C14" s="27">
        <v>250</v>
      </c>
      <c r="D14" s="28">
        <v>3791</v>
      </c>
      <c r="E14" s="28">
        <v>2481</v>
      </c>
      <c r="F14" s="28">
        <v>0</v>
      </c>
      <c r="G14" s="28">
        <v>1</v>
      </c>
      <c r="H14" s="29">
        <f t="shared" si="0"/>
        <v>9.5115999999999996</v>
      </c>
      <c r="J14" s="36">
        <v>91</v>
      </c>
      <c r="K14" s="37">
        <f t="shared" si="1"/>
        <v>0.36399999999999999</v>
      </c>
      <c r="L14" s="37">
        <f t="shared" si="2"/>
        <v>3.8269060936120106E-2</v>
      </c>
      <c r="M14" s="36">
        <f t="shared" si="3"/>
        <v>4621.6269763237233</v>
      </c>
    </row>
    <row r="15" spans="1:13" s="7" customFormat="1">
      <c r="A15" s="25">
        <v>5</v>
      </c>
      <c r="B15" s="26" t="s">
        <v>61</v>
      </c>
      <c r="C15" s="27">
        <v>23412</v>
      </c>
      <c r="D15" s="28">
        <v>44182</v>
      </c>
      <c r="E15" s="28">
        <v>27624</v>
      </c>
      <c r="F15" s="28">
        <v>14345</v>
      </c>
      <c r="G15" s="28">
        <v>150</v>
      </c>
      <c r="H15" s="29">
        <f t="shared" si="0"/>
        <v>1.2180121305313514</v>
      </c>
      <c r="J15" s="36">
        <v>79553.135999999999</v>
      </c>
      <c r="K15" s="37">
        <f t="shared" si="1"/>
        <v>3.3979641209636084</v>
      </c>
      <c r="L15" s="37">
        <f t="shared" si="2"/>
        <v>2.789762134373214</v>
      </c>
      <c r="M15" s="36">
        <f t="shared" si="3"/>
        <v>0</v>
      </c>
    </row>
    <row r="16" spans="1:13" s="7" customFormat="1">
      <c r="A16" s="25">
        <v>6</v>
      </c>
      <c r="B16" s="26" t="s">
        <v>62</v>
      </c>
      <c r="C16" s="27">
        <v>292</v>
      </c>
      <c r="D16" s="28">
        <v>3860</v>
      </c>
      <c r="E16" s="28">
        <v>2445</v>
      </c>
      <c r="F16" s="28">
        <v>0</v>
      </c>
      <c r="G16" s="28">
        <v>31</v>
      </c>
      <c r="H16" s="29">
        <f t="shared" si="0"/>
        <v>8.1630136986301363</v>
      </c>
      <c r="J16" s="36">
        <v>92</v>
      </c>
      <c r="K16" s="37">
        <f t="shared" si="1"/>
        <v>0.31506849315068491</v>
      </c>
      <c r="L16" s="37">
        <f t="shared" si="2"/>
        <v>3.8597080046987753E-2</v>
      </c>
      <c r="M16" s="36">
        <f t="shared" si="3"/>
        <v>4630.5816053348335</v>
      </c>
    </row>
    <row r="17" spans="1:13" s="7" customFormat="1">
      <c r="A17" s="25">
        <v>7</v>
      </c>
      <c r="B17" s="26" t="s">
        <v>63</v>
      </c>
      <c r="C17" s="27">
        <v>789</v>
      </c>
      <c r="D17" s="28">
        <v>5622</v>
      </c>
      <c r="E17" s="28">
        <v>4651</v>
      </c>
      <c r="F17" s="28">
        <v>29</v>
      </c>
      <c r="G17" s="28">
        <v>6</v>
      </c>
      <c r="H17" s="29">
        <f t="shared" si="0"/>
        <v>5.0894803548795942</v>
      </c>
      <c r="J17" s="36">
        <v>1448.948888194074</v>
      </c>
      <c r="K17" s="37">
        <f t="shared" si="1"/>
        <v>1.8364371206515513</v>
      </c>
      <c r="L17" s="37">
        <f t="shared" si="2"/>
        <v>0.36082998510660275</v>
      </c>
      <c r="M17" s="36">
        <f t="shared" si="3"/>
        <v>4286.3206898806675</v>
      </c>
    </row>
    <row r="18" spans="1:13" s="7" customFormat="1">
      <c r="A18" s="25">
        <v>8</v>
      </c>
      <c r="B18" s="26" t="s">
        <v>64</v>
      </c>
      <c r="C18" s="27">
        <v>9392</v>
      </c>
      <c r="D18" s="28">
        <v>28630</v>
      </c>
      <c r="E18" s="28">
        <v>44408</v>
      </c>
      <c r="F18" s="28">
        <v>15052</v>
      </c>
      <c r="G18" s="28">
        <v>2690</v>
      </c>
      <c r="H18" s="29">
        <f t="shared" si="0"/>
        <v>3.4675468483816014</v>
      </c>
      <c r="J18" s="36">
        <v>32584.818968620351</v>
      </c>
      <c r="K18" s="37">
        <f t="shared" si="1"/>
        <v>3.4694228033028485</v>
      </c>
      <c r="L18" s="37">
        <f t="shared" si="2"/>
        <v>1.0005410034826558</v>
      </c>
      <c r="M18" s="36">
        <f t="shared" si="3"/>
        <v>0</v>
      </c>
    </row>
    <row r="19" spans="1:13" s="7" customFormat="1">
      <c r="A19" s="25">
        <v>9</v>
      </c>
      <c r="B19" s="26" t="s">
        <v>65</v>
      </c>
      <c r="C19" s="27">
        <v>695</v>
      </c>
      <c r="D19" s="28">
        <v>5384</v>
      </c>
      <c r="E19" s="28">
        <v>6795</v>
      </c>
      <c r="F19" s="28">
        <v>0</v>
      </c>
      <c r="G19" s="28">
        <v>35</v>
      </c>
      <c r="H19" s="29">
        <f t="shared" si="0"/>
        <v>7.2175539568345322</v>
      </c>
      <c r="J19" s="36">
        <v>427</v>
      </c>
      <c r="K19" s="37">
        <f t="shared" si="1"/>
        <v>0.61438848920863309</v>
      </c>
      <c r="L19" s="37">
        <f t="shared" si="2"/>
        <v>8.5124197599776727E-2</v>
      </c>
      <c r="M19" s="36">
        <f t="shared" si="3"/>
        <v>9110.9465844526821</v>
      </c>
    </row>
    <row r="20" spans="1:13" s="7" customFormat="1">
      <c r="A20" s="25">
        <v>10</v>
      </c>
      <c r="B20" s="26" t="s">
        <v>66</v>
      </c>
      <c r="C20" s="27">
        <v>939</v>
      </c>
      <c r="D20" s="28">
        <v>6961</v>
      </c>
      <c r="E20" s="28">
        <v>8937</v>
      </c>
      <c r="F20" s="28">
        <v>3</v>
      </c>
      <c r="G20" s="28">
        <v>279</v>
      </c>
      <c r="H20" s="29">
        <f t="shared" si="0"/>
        <v>7.0127795527156538</v>
      </c>
      <c r="I20" s="30"/>
      <c r="J20" s="36">
        <v>443.42857142857144</v>
      </c>
      <c r="K20" s="37">
        <f t="shared" si="1"/>
        <v>0.47223490034991633</v>
      </c>
      <c r="L20" s="37">
        <f t="shared" si="2"/>
        <v>6.7339190801605386E-2</v>
      </c>
      <c r="M20" s="36">
        <f t="shared" si="3"/>
        <v>12278.477298764939</v>
      </c>
    </row>
    <row r="21" spans="1:13" s="7" customFormat="1">
      <c r="A21" s="25">
        <v>11</v>
      </c>
      <c r="B21" s="26" t="s">
        <v>67</v>
      </c>
      <c r="C21" s="27">
        <v>1073</v>
      </c>
      <c r="D21" s="28">
        <v>7369</v>
      </c>
      <c r="E21" s="28">
        <v>3973</v>
      </c>
      <c r="F21" s="28">
        <v>112</v>
      </c>
      <c r="G21" s="28">
        <v>39</v>
      </c>
      <c r="H21" s="29">
        <f t="shared" si="0"/>
        <v>3.9257222739981352</v>
      </c>
      <c r="I21" s="30"/>
      <c r="J21" s="36">
        <v>2237</v>
      </c>
      <c r="K21" s="37">
        <f t="shared" si="1"/>
        <v>2.0848089468779123</v>
      </c>
      <c r="L21" s="37">
        <f t="shared" si="2"/>
        <v>0.53106378937872434</v>
      </c>
      <c r="M21" s="36">
        <f t="shared" si="3"/>
        <v>2548.5207335699611</v>
      </c>
    </row>
    <row r="22" spans="1:13" s="7" customFormat="1">
      <c r="A22" s="25">
        <v>12</v>
      </c>
      <c r="B22" s="26" t="s">
        <v>68</v>
      </c>
      <c r="C22" s="27">
        <v>3096</v>
      </c>
      <c r="D22" s="28">
        <v>12738</v>
      </c>
      <c r="E22" s="28">
        <v>15606</v>
      </c>
      <c r="F22" s="28">
        <v>1678</v>
      </c>
      <c r="G22" s="28">
        <v>1892</v>
      </c>
      <c r="H22" s="29">
        <f t="shared" si="0"/>
        <v>3.8699612403100776</v>
      </c>
      <c r="I22" s="30"/>
      <c r="J22" s="36">
        <v>4045.8241758080071</v>
      </c>
      <c r="K22" s="37">
        <f t="shared" si="1"/>
        <v>1.3067907544599506</v>
      </c>
      <c r="L22" s="37">
        <f t="shared" si="2"/>
        <v>0.33767541153855202</v>
      </c>
      <c r="M22" s="36">
        <f t="shared" si="3"/>
        <v>13542.707894638519</v>
      </c>
    </row>
    <row r="23" spans="1:13" s="7" customFormat="1">
      <c r="A23" s="25">
        <v>13</v>
      </c>
      <c r="B23" s="26" t="s">
        <v>69</v>
      </c>
      <c r="C23" s="27">
        <v>644</v>
      </c>
      <c r="D23" s="28">
        <v>5411</v>
      </c>
      <c r="E23" s="28">
        <v>0</v>
      </c>
      <c r="F23" s="28">
        <v>0</v>
      </c>
      <c r="G23" s="28">
        <v>0</v>
      </c>
      <c r="H23" s="29">
        <f t="shared" si="0"/>
        <v>2.5206521739130432</v>
      </c>
      <c r="I23" s="30"/>
      <c r="J23" s="36">
        <v>573.54838709677415</v>
      </c>
      <c r="K23" s="37">
        <f t="shared" si="1"/>
        <v>0.89060308555399714</v>
      </c>
      <c r="L23" s="37">
        <f t="shared" si="2"/>
        <v>0.3533224832728234</v>
      </c>
      <c r="M23" s="36">
        <f t="shared" si="3"/>
        <v>1765.8412184688966</v>
      </c>
    </row>
    <row r="24" spans="1:13" s="7" customFormat="1">
      <c r="A24" s="25">
        <v>14</v>
      </c>
      <c r="B24" s="26" t="s">
        <v>70</v>
      </c>
      <c r="C24" s="27">
        <v>483</v>
      </c>
      <c r="D24" s="28">
        <v>9288</v>
      </c>
      <c r="E24" s="28">
        <v>3901</v>
      </c>
      <c r="F24" s="28">
        <v>0</v>
      </c>
      <c r="G24" s="28">
        <v>0</v>
      </c>
      <c r="H24" s="29">
        <f t="shared" si="0"/>
        <v>9.8072463768115927</v>
      </c>
      <c r="I24" s="30"/>
      <c r="J24" s="36">
        <v>551.46600000000001</v>
      </c>
      <c r="K24" s="37">
        <f t="shared" si="1"/>
        <v>1.141751552795031</v>
      </c>
      <c r="L24" s="37">
        <f t="shared" si="2"/>
        <v>0.11641917709894659</v>
      </c>
      <c r="M24" s="36">
        <f t="shared" si="3"/>
        <v>8200.991859687203</v>
      </c>
    </row>
    <row r="25" spans="1:13" s="7" customFormat="1">
      <c r="A25" s="25">
        <v>15</v>
      </c>
      <c r="B25" s="26" t="s">
        <v>71</v>
      </c>
      <c r="C25" s="27">
        <v>1255</v>
      </c>
      <c r="D25" s="28">
        <v>6892</v>
      </c>
      <c r="E25" s="28">
        <v>4361</v>
      </c>
      <c r="F25" s="28">
        <v>1855</v>
      </c>
      <c r="G25" s="28">
        <v>189</v>
      </c>
      <c r="H25" s="29">
        <f t="shared" si="0"/>
        <v>3.547808764940239</v>
      </c>
      <c r="I25" s="30"/>
      <c r="J25" s="36">
        <v>1462.2340000000002</v>
      </c>
      <c r="K25" s="37">
        <f t="shared" si="1"/>
        <v>1.1651266932270918</v>
      </c>
      <c r="L25" s="37">
        <f t="shared" si="2"/>
        <v>0.32840741156653569</v>
      </c>
      <c r="M25" s="36">
        <f t="shared" si="3"/>
        <v>5144.7979652378681</v>
      </c>
    </row>
    <row r="26" spans="1:13" s="7" customFormat="1">
      <c r="A26" s="25">
        <v>16</v>
      </c>
      <c r="B26" s="26" t="s">
        <v>72</v>
      </c>
      <c r="C26" s="27">
        <v>925</v>
      </c>
      <c r="D26" s="28">
        <v>6586</v>
      </c>
      <c r="E26" s="28">
        <v>0</v>
      </c>
      <c r="F26" s="28">
        <v>1060</v>
      </c>
      <c r="G26" s="28">
        <v>303</v>
      </c>
      <c r="H26" s="29">
        <f t="shared" si="0"/>
        <v>2.2833513513513517</v>
      </c>
      <c r="I26" s="30"/>
      <c r="J26" s="36">
        <v>936</v>
      </c>
      <c r="K26" s="37">
        <f t="shared" si="1"/>
        <v>1.011891891891892</v>
      </c>
      <c r="L26" s="37">
        <f t="shared" si="2"/>
        <v>0.44316083518772781</v>
      </c>
      <c r="M26" s="36">
        <f t="shared" si="3"/>
        <v>1782.1596833427973</v>
      </c>
    </row>
    <row r="27" spans="1:13" s="7" customFormat="1">
      <c r="A27" s="25">
        <v>17</v>
      </c>
      <c r="B27" s="26" t="s">
        <v>73</v>
      </c>
      <c r="C27" s="27">
        <v>964</v>
      </c>
      <c r="D27" s="28">
        <v>8120</v>
      </c>
      <c r="E27" s="28">
        <v>7222</v>
      </c>
      <c r="F27" s="28">
        <v>200</v>
      </c>
      <c r="G27" s="28">
        <v>198</v>
      </c>
      <c r="H27" s="29">
        <f t="shared" si="0"/>
        <v>6.3141078838174272</v>
      </c>
      <c r="I27" s="30"/>
      <c r="J27" s="36">
        <v>890.95615866388312</v>
      </c>
      <c r="K27" s="37">
        <f t="shared" si="1"/>
        <v>0.92422838035672528</v>
      </c>
      <c r="L27" s="37">
        <f t="shared" si="2"/>
        <v>0.14637513285533996</v>
      </c>
      <c r="M27" s="36">
        <f t="shared" si="3"/>
        <v>10042.801997962735</v>
      </c>
    </row>
    <row r="28" spans="1:13">
      <c r="J28" s="1"/>
      <c r="K28" s="1"/>
      <c r="L28" s="1"/>
      <c r="M28" s="1"/>
    </row>
  </sheetData>
  <sheetProtection autoFilter="0"/>
  <mergeCells count="4">
    <mergeCell ref="A1:H1"/>
    <mergeCell ref="A2:H2"/>
    <mergeCell ref="A3:H3"/>
    <mergeCell ref="C5:H5"/>
  </mergeCells>
  <conditionalFormatting sqref="L11:L27">
    <cfRule type="cellIs" dxfId="5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zoomScale="85" workbookViewId="0">
      <pane xSplit="2" ySplit="10" topLeftCell="C26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/>
  <cols>
    <col min="1" max="1" width="6" style="8" bestFit="1" customWidth="1"/>
    <col min="2" max="2" width="32.42578125" style="8" bestFit="1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>
      <c r="A1" s="228" t="s">
        <v>9</v>
      </c>
      <c r="B1" s="228"/>
      <c r="C1" s="228"/>
      <c r="D1" s="228"/>
      <c r="E1" s="228"/>
      <c r="F1" s="228"/>
      <c r="G1" s="228"/>
      <c r="H1" s="228"/>
    </row>
    <row r="2" spans="1:13" ht="30.75">
      <c r="A2" s="228" t="s">
        <v>44</v>
      </c>
      <c r="B2" s="228"/>
      <c r="C2" s="228"/>
      <c r="D2" s="228"/>
      <c r="E2" s="228"/>
      <c r="F2" s="228"/>
      <c r="G2" s="228"/>
      <c r="H2" s="228"/>
    </row>
    <row r="3" spans="1:13" ht="20.25">
      <c r="A3" s="229" t="s">
        <v>4</v>
      </c>
      <c r="B3" s="229"/>
      <c r="C3" s="229"/>
      <c r="D3" s="229"/>
      <c r="E3" s="229"/>
      <c r="F3" s="229"/>
      <c r="G3" s="229"/>
      <c r="H3" s="229"/>
    </row>
    <row r="4" spans="1:13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>
      <c r="B5" s="19"/>
      <c r="C5" s="227" t="s">
        <v>43</v>
      </c>
      <c r="D5" s="227"/>
      <c r="E5" s="227"/>
      <c r="F5" s="227"/>
      <c r="G5" s="227"/>
      <c r="H5" s="227"/>
      <c r="J5" s="32"/>
      <c r="K5" s="32"/>
      <c r="L5" s="32"/>
      <c r="M5" s="32"/>
    </row>
    <row r="6" spans="1:13" s="11" customFormat="1" ht="27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>
      <c r="A7" s="10"/>
      <c r="B7" s="10"/>
      <c r="C7" s="10"/>
      <c r="D7" s="16">
        <v>0.2</v>
      </c>
      <c r="E7" s="16">
        <v>0.5</v>
      </c>
      <c r="F7" s="16">
        <v>0.15</v>
      </c>
      <c r="G7" s="17">
        <f>1-D7-E7-F7</f>
        <v>0.15000000000000005</v>
      </c>
      <c r="H7" s="10"/>
      <c r="I7" s="10"/>
      <c r="J7" s="33"/>
      <c r="K7" s="33"/>
      <c r="L7" s="33"/>
      <c r="M7" s="33"/>
    </row>
    <row r="8" spans="1:13" s="11" customFormat="1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>
      <c r="A9" s="2" t="s">
        <v>0</v>
      </c>
      <c r="B9" s="2" t="s">
        <v>5</v>
      </c>
      <c r="C9" s="3" t="s">
        <v>3</v>
      </c>
      <c r="D9" s="4" t="s">
        <v>39</v>
      </c>
      <c r="E9" s="4" t="s">
        <v>40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>
      <c r="A10" s="20">
        <f>COUNT(C11:C38)</f>
        <v>28</v>
      </c>
      <c r="B10" s="21" t="s">
        <v>1</v>
      </c>
      <c r="C10" s="22">
        <f>SUM(C11:C38)</f>
        <v>73316</v>
      </c>
      <c r="D10" s="23">
        <f>MAX(D11:D38)</f>
        <v>61289</v>
      </c>
      <c r="E10" s="23">
        <f>MAX(E11:E38)</f>
        <v>23307</v>
      </c>
      <c r="F10" s="23">
        <f>MAX(F11:F38)</f>
        <v>14059</v>
      </c>
      <c r="G10" s="23">
        <f>MAX(G11:G38)</f>
        <v>1210</v>
      </c>
      <c r="H10" s="24"/>
      <c r="J10" s="35">
        <f>SUM(J11:J38)</f>
        <v>169348.82247369227</v>
      </c>
      <c r="K10" s="38">
        <f>J10/C10</f>
        <v>2.3098480887349591</v>
      </c>
      <c r="L10" s="39">
        <v>1.5618627671280154</v>
      </c>
      <c r="M10" s="35">
        <f>SUM(M11:M27)</f>
        <v>70000.000000000015</v>
      </c>
    </row>
    <row r="11" spans="1:13" s="7" customFormat="1">
      <c r="A11" s="25">
        <v>1</v>
      </c>
      <c r="B11" s="26" t="s">
        <v>11</v>
      </c>
      <c r="C11" s="27">
        <v>1180</v>
      </c>
      <c r="D11" s="28">
        <v>6349</v>
      </c>
      <c r="E11" s="28">
        <v>2086</v>
      </c>
      <c r="F11" s="28">
        <v>88</v>
      </c>
      <c r="G11" s="28">
        <v>264</v>
      </c>
      <c r="H11" s="29">
        <f>IF(C11=0,0,(D11*$D$7+E11*$E$7+F11*$F$7+G11*$G$7)/C11)</f>
        <v>2.0047457627118641</v>
      </c>
      <c r="J11" s="36">
        <v>5348</v>
      </c>
      <c r="K11" s="37">
        <f>J11/C11</f>
        <v>4.5322033898305083</v>
      </c>
      <c r="L11" s="37">
        <f>K11/H11</f>
        <v>2.2607372336827867</v>
      </c>
      <c r="M11" s="36">
        <f>IF($K$10*($L$10-L11)*H11*C11&lt;0,0,$K$10*($L$10-L11)*H11*C11)</f>
        <v>0</v>
      </c>
    </row>
    <row r="12" spans="1:13" s="7" customFormat="1">
      <c r="A12" s="25">
        <v>2</v>
      </c>
      <c r="B12" s="26" t="s">
        <v>12</v>
      </c>
      <c r="C12" s="27">
        <v>8497</v>
      </c>
      <c r="D12" s="28">
        <v>13825</v>
      </c>
      <c r="E12" s="28">
        <v>3959</v>
      </c>
      <c r="F12" s="28">
        <v>7291</v>
      </c>
      <c r="G12" s="28">
        <v>0</v>
      </c>
      <c r="H12" s="29">
        <f t="shared" ref="H12:H38" si="0">IF(C12=0,0,(D12*$D$7+E12*$E$7+F12*$F$7+G12*$G$7)/C12)</f>
        <v>0.68708367659173819</v>
      </c>
      <c r="J12" s="36">
        <v>11547.104378172589</v>
      </c>
      <c r="K12" s="37">
        <f t="shared" ref="K12:K38" si="1">J12/C12</f>
        <v>1.3589625018444851</v>
      </c>
      <c r="L12" s="37">
        <f t="shared" ref="L12:L38" si="2">K12/H12</f>
        <v>1.977870451799387</v>
      </c>
      <c r="M12" s="36">
        <f t="shared" ref="M12:M38" si="3">IF($K$10*($L$10-L12)*H12*C12&lt;0,0,$K$10*($L$10-L12)*H12*C12)</f>
        <v>0</v>
      </c>
    </row>
    <row r="13" spans="1:13" s="7" customFormat="1">
      <c r="A13" s="25">
        <v>3</v>
      </c>
      <c r="B13" s="26" t="s">
        <v>13</v>
      </c>
      <c r="C13" s="27">
        <v>526</v>
      </c>
      <c r="D13" s="28">
        <v>2782</v>
      </c>
      <c r="E13" s="28">
        <v>861</v>
      </c>
      <c r="F13" s="28">
        <v>11</v>
      </c>
      <c r="G13" s="28">
        <v>0</v>
      </c>
      <c r="H13" s="29">
        <f t="shared" si="0"/>
        <v>1.8793726235741444</v>
      </c>
      <c r="J13" s="36">
        <v>575.08600000000001</v>
      </c>
      <c r="K13" s="37">
        <f t="shared" si="1"/>
        <v>1.093319391634981</v>
      </c>
      <c r="L13" s="37">
        <f t="shared" si="2"/>
        <v>0.58174700318648531</v>
      </c>
      <c r="M13" s="36">
        <f t="shared" si="3"/>
        <v>2237.9966569786388</v>
      </c>
    </row>
    <row r="14" spans="1:13" s="7" customFormat="1">
      <c r="A14" s="25">
        <v>4</v>
      </c>
      <c r="B14" s="26" t="s">
        <v>14</v>
      </c>
      <c r="C14" s="27">
        <v>832</v>
      </c>
      <c r="D14" s="28">
        <v>3601</v>
      </c>
      <c r="E14" s="28">
        <v>1897</v>
      </c>
      <c r="F14" s="28">
        <v>0</v>
      </c>
      <c r="G14" s="28">
        <v>0</v>
      </c>
      <c r="H14" s="29">
        <f t="shared" si="0"/>
        <v>2.0056490384615384</v>
      </c>
      <c r="J14" s="36">
        <v>926</v>
      </c>
      <c r="K14" s="37">
        <f t="shared" si="1"/>
        <v>1.1129807692307692</v>
      </c>
      <c r="L14" s="37">
        <f t="shared" si="2"/>
        <v>0.5549229939473842</v>
      </c>
      <c r="M14" s="36">
        <f t="shared" si="3"/>
        <v>3881.1924693389469</v>
      </c>
    </row>
    <row r="15" spans="1:13" s="7" customFormat="1">
      <c r="A15" s="25">
        <v>5</v>
      </c>
      <c r="B15" s="26" t="s">
        <v>15</v>
      </c>
      <c r="C15" s="27">
        <v>420</v>
      </c>
      <c r="D15" s="28">
        <v>3671</v>
      </c>
      <c r="E15" s="28">
        <v>1888</v>
      </c>
      <c r="F15" s="28">
        <v>0</v>
      </c>
      <c r="G15" s="28">
        <v>42</v>
      </c>
      <c r="H15" s="29">
        <f t="shared" si="0"/>
        <v>4.0107142857142861</v>
      </c>
      <c r="J15" s="36">
        <v>323</v>
      </c>
      <c r="K15" s="37">
        <f t="shared" si="1"/>
        <v>0.76904761904761909</v>
      </c>
      <c r="L15" s="37">
        <f t="shared" si="2"/>
        <v>0.19174829326209558</v>
      </c>
      <c r="M15" s="36">
        <f t="shared" si="3"/>
        <v>5331.0319853408955</v>
      </c>
    </row>
    <row r="16" spans="1:13" s="7" customFormat="1">
      <c r="A16" s="25">
        <v>6</v>
      </c>
      <c r="B16" s="26" t="s">
        <v>16</v>
      </c>
      <c r="C16" s="27">
        <v>689</v>
      </c>
      <c r="D16" s="28">
        <v>3849</v>
      </c>
      <c r="E16" s="28">
        <v>1711</v>
      </c>
      <c r="F16" s="28">
        <v>100</v>
      </c>
      <c r="G16" s="28">
        <v>19</v>
      </c>
      <c r="H16" s="29">
        <f t="shared" si="0"/>
        <v>2.3848330914368652</v>
      </c>
      <c r="J16" s="36">
        <v>652.06136706948632</v>
      </c>
      <c r="K16" s="37">
        <f t="shared" si="1"/>
        <v>0.94638805089910927</v>
      </c>
      <c r="L16" s="37">
        <f t="shared" si="2"/>
        <v>0.39683617872348004</v>
      </c>
      <c r="M16" s="36">
        <f t="shared" si="3"/>
        <v>4421.7732377061038</v>
      </c>
    </row>
    <row r="17" spans="1:13" s="7" customFormat="1">
      <c r="A17" s="25">
        <v>7</v>
      </c>
      <c r="B17" s="26" t="s">
        <v>17</v>
      </c>
      <c r="C17" s="27">
        <v>1066</v>
      </c>
      <c r="D17" s="28">
        <v>4195</v>
      </c>
      <c r="E17" s="28">
        <v>2464</v>
      </c>
      <c r="F17" s="28">
        <v>205</v>
      </c>
      <c r="G17" s="28">
        <v>64</v>
      </c>
      <c r="H17" s="29">
        <f t="shared" si="0"/>
        <v>1.9806285178236398</v>
      </c>
      <c r="J17" s="36">
        <v>954</v>
      </c>
      <c r="K17" s="37">
        <f t="shared" si="1"/>
        <v>0.89493433395872424</v>
      </c>
      <c r="L17" s="37">
        <f t="shared" si="2"/>
        <v>0.45184360717076755</v>
      </c>
      <c r="M17" s="36">
        <f t="shared" si="3"/>
        <v>5413.4499571397409</v>
      </c>
    </row>
    <row r="18" spans="1:13" s="7" customFormat="1">
      <c r="A18" s="25">
        <v>8</v>
      </c>
      <c r="B18" s="26" t="s">
        <v>18</v>
      </c>
      <c r="C18" s="27">
        <v>497</v>
      </c>
      <c r="D18" s="28">
        <v>3640</v>
      </c>
      <c r="E18" s="28">
        <v>1550</v>
      </c>
      <c r="F18" s="28">
        <v>69</v>
      </c>
      <c r="G18" s="28">
        <v>38</v>
      </c>
      <c r="H18" s="29">
        <f t="shared" si="0"/>
        <v>3.0564386317907442</v>
      </c>
      <c r="J18" s="36">
        <v>299.02769366983864</v>
      </c>
      <c r="K18" s="37">
        <f t="shared" si="1"/>
        <v>0.60166537961738153</v>
      </c>
      <c r="L18" s="37">
        <f t="shared" si="2"/>
        <v>0.19685177819679317</v>
      </c>
      <c r="M18" s="36">
        <f t="shared" si="3"/>
        <v>4789.5160766825084</v>
      </c>
    </row>
    <row r="19" spans="1:13" s="7" customFormat="1">
      <c r="A19" s="25">
        <v>9</v>
      </c>
      <c r="B19" s="26" t="s">
        <v>19</v>
      </c>
      <c r="C19" s="27">
        <v>3372</v>
      </c>
      <c r="D19" s="28">
        <v>7729</v>
      </c>
      <c r="E19" s="28">
        <v>4359</v>
      </c>
      <c r="F19" s="28">
        <v>575</v>
      </c>
      <c r="G19" s="28">
        <v>0</v>
      </c>
      <c r="H19" s="29">
        <f t="shared" si="0"/>
        <v>1.1303529062870701</v>
      </c>
      <c r="J19" s="36">
        <v>3109.3410447761194</v>
      </c>
      <c r="K19" s="37">
        <f t="shared" si="1"/>
        <v>0.92210588516492276</v>
      </c>
      <c r="L19" s="37">
        <f t="shared" si="2"/>
        <v>0.81576813757555833</v>
      </c>
      <c r="M19" s="36">
        <f t="shared" si="3"/>
        <v>6568.6928342159163</v>
      </c>
    </row>
    <row r="20" spans="1:13" s="7" customFormat="1">
      <c r="A20" s="25">
        <v>10</v>
      </c>
      <c r="B20" s="26" t="s">
        <v>20</v>
      </c>
      <c r="C20" s="27">
        <v>1063</v>
      </c>
      <c r="D20" s="28">
        <v>5002</v>
      </c>
      <c r="E20" s="28">
        <v>2087</v>
      </c>
      <c r="F20" s="28">
        <v>84</v>
      </c>
      <c r="G20" s="28">
        <v>109</v>
      </c>
      <c r="H20" s="29">
        <f t="shared" si="0"/>
        <v>1.95</v>
      </c>
      <c r="I20" s="30"/>
      <c r="J20" s="36">
        <v>444.07</v>
      </c>
      <c r="K20" s="37">
        <f t="shared" si="1"/>
        <v>0.41775164628410161</v>
      </c>
      <c r="L20" s="37">
        <f t="shared" si="2"/>
        <v>0.21423161347902647</v>
      </c>
      <c r="M20" s="36">
        <f t="shared" si="3"/>
        <v>6452.4156625189571</v>
      </c>
    </row>
    <row r="21" spans="1:13" s="7" customFormat="1">
      <c r="A21" s="25">
        <v>11</v>
      </c>
      <c r="B21" s="26" t="s">
        <v>21</v>
      </c>
      <c r="C21" s="27">
        <v>416</v>
      </c>
      <c r="D21" s="28">
        <v>2462</v>
      </c>
      <c r="E21" s="28">
        <v>2603</v>
      </c>
      <c r="F21" s="28">
        <v>55</v>
      </c>
      <c r="G21" s="28">
        <v>0</v>
      </c>
      <c r="H21" s="29">
        <f t="shared" si="0"/>
        <v>4.3320913461538462</v>
      </c>
      <c r="I21" s="30"/>
      <c r="J21" s="36">
        <v>202</v>
      </c>
      <c r="K21" s="37">
        <f t="shared" si="1"/>
        <v>0.48557692307692307</v>
      </c>
      <c r="L21" s="37">
        <f t="shared" si="2"/>
        <v>0.11208833892850206</v>
      </c>
      <c r="M21" s="36">
        <f t="shared" si="3"/>
        <v>6034.9654769201934</v>
      </c>
    </row>
    <row r="22" spans="1:13" s="7" customFormat="1">
      <c r="A22" s="25">
        <v>12</v>
      </c>
      <c r="B22" s="26" t="s">
        <v>22</v>
      </c>
      <c r="C22" s="27">
        <v>1001</v>
      </c>
      <c r="D22" s="28">
        <v>4618</v>
      </c>
      <c r="E22" s="28">
        <v>2364</v>
      </c>
      <c r="F22" s="28">
        <v>0</v>
      </c>
      <c r="G22" s="28">
        <v>380</v>
      </c>
      <c r="H22" s="29">
        <f t="shared" si="0"/>
        <v>2.1604395604395603</v>
      </c>
      <c r="I22" s="30"/>
      <c r="J22" s="36">
        <v>534.90278787878788</v>
      </c>
      <c r="K22" s="37">
        <f t="shared" si="1"/>
        <v>0.53436841945932856</v>
      </c>
      <c r="L22" s="37">
        <f t="shared" si="2"/>
        <v>0.24734245254729859</v>
      </c>
      <c r="M22" s="36">
        <f t="shared" si="3"/>
        <v>6566.393720087317</v>
      </c>
    </row>
    <row r="23" spans="1:13" s="7" customFormat="1">
      <c r="A23" s="25">
        <v>13</v>
      </c>
      <c r="B23" s="26" t="s">
        <v>23</v>
      </c>
      <c r="C23" s="27">
        <v>4395</v>
      </c>
      <c r="D23" s="28">
        <v>8336</v>
      </c>
      <c r="E23" s="28">
        <v>4984</v>
      </c>
      <c r="F23" s="28">
        <v>1342</v>
      </c>
      <c r="G23" s="28">
        <v>0</v>
      </c>
      <c r="H23" s="29">
        <f t="shared" si="0"/>
        <v>0.99215017064846411</v>
      </c>
      <c r="I23" s="30"/>
      <c r="J23" s="36">
        <v>11075.307008884502</v>
      </c>
      <c r="K23" s="37">
        <f t="shared" si="1"/>
        <v>2.519978841611946</v>
      </c>
      <c r="L23" s="37">
        <f t="shared" si="2"/>
        <v>2.5399167547034751</v>
      </c>
      <c r="M23" s="36">
        <f t="shared" si="3"/>
        <v>0</v>
      </c>
    </row>
    <row r="24" spans="1:13" s="7" customFormat="1">
      <c r="A24" s="25">
        <v>14</v>
      </c>
      <c r="B24" s="26" t="s">
        <v>24</v>
      </c>
      <c r="C24" s="27">
        <v>454</v>
      </c>
      <c r="D24" s="28">
        <v>4145</v>
      </c>
      <c r="E24" s="28">
        <v>1901</v>
      </c>
      <c r="F24" s="28">
        <v>0</v>
      </c>
      <c r="G24" s="28">
        <v>0</v>
      </c>
      <c r="H24" s="29">
        <f t="shared" si="0"/>
        <v>3.9196035242290748</v>
      </c>
      <c r="I24" s="30"/>
      <c r="J24" s="36">
        <v>135</v>
      </c>
      <c r="K24" s="37">
        <f t="shared" si="1"/>
        <v>0.29735682819383258</v>
      </c>
      <c r="L24" s="37">
        <f t="shared" si="2"/>
        <v>7.5864006743467258E-2</v>
      </c>
      <c r="M24" s="36">
        <f t="shared" si="3"/>
        <v>6108.0116701371762</v>
      </c>
    </row>
    <row r="25" spans="1:13" s="7" customFormat="1">
      <c r="A25" s="25">
        <v>15</v>
      </c>
      <c r="B25" s="26" t="s">
        <v>25</v>
      </c>
      <c r="C25" s="27">
        <v>878</v>
      </c>
      <c r="D25" s="28">
        <v>4072</v>
      </c>
      <c r="E25" s="28">
        <v>1299</v>
      </c>
      <c r="F25" s="28">
        <v>271</v>
      </c>
      <c r="G25" s="28">
        <v>359</v>
      </c>
      <c r="H25" s="29">
        <f t="shared" si="0"/>
        <v>1.7749430523917997</v>
      </c>
      <c r="I25" s="30"/>
      <c r="J25" s="36">
        <v>1268.2272727272727</v>
      </c>
      <c r="K25" s="37">
        <f t="shared" si="1"/>
        <v>1.4444501967281012</v>
      </c>
      <c r="L25" s="37">
        <f t="shared" si="2"/>
        <v>0.81380086802314722</v>
      </c>
      <c r="M25" s="36">
        <f t="shared" si="3"/>
        <v>2692.7739277717606</v>
      </c>
    </row>
    <row r="26" spans="1:13" s="7" customFormat="1">
      <c r="A26" s="25">
        <v>16</v>
      </c>
      <c r="B26" s="26" t="s">
        <v>26</v>
      </c>
      <c r="C26" s="27">
        <v>552</v>
      </c>
      <c r="D26" s="28">
        <v>3729</v>
      </c>
      <c r="E26" s="28">
        <v>1894</v>
      </c>
      <c r="F26" s="28">
        <v>19</v>
      </c>
      <c r="G26" s="28">
        <v>228</v>
      </c>
      <c r="H26" s="29">
        <f t="shared" si="0"/>
        <v>3.1337862318840584</v>
      </c>
      <c r="I26" s="30"/>
      <c r="J26" s="36">
        <v>505</v>
      </c>
      <c r="K26" s="37">
        <f t="shared" si="1"/>
        <v>0.91485507246376807</v>
      </c>
      <c r="L26" s="37">
        <f t="shared" si="2"/>
        <v>0.29193282654565422</v>
      </c>
      <c r="M26" s="36">
        <f t="shared" si="3"/>
        <v>5074.2472739340274</v>
      </c>
    </row>
    <row r="27" spans="1:13" s="7" customFormat="1">
      <c r="A27" s="25">
        <v>17</v>
      </c>
      <c r="B27" s="26" t="s">
        <v>27</v>
      </c>
      <c r="C27" s="27">
        <v>415</v>
      </c>
      <c r="D27" s="28">
        <v>3412</v>
      </c>
      <c r="E27" s="28">
        <v>1295</v>
      </c>
      <c r="F27" s="28">
        <v>38</v>
      </c>
      <c r="G27" s="28">
        <v>0</v>
      </c>
      <c r="H27" s="29">
        <f t="shared" si="0"/>
        <v>3.2183132530120484</v>
      </c>
      <c r="I27" s="30"/>
      <c r="J27" s="36">
        <v>169.21428571428572</v>
      </c>
      <c r="K27" s="37">
        <f t="shared" si="1"/>
        <v>0.40774526678141138</v>
      </c>
      <c r="L27" s="37">
        <f t="shared" si="2"/>
        <v>0.12669533222093868</v>
      </c>
      <c r="M27" s="36">
        <f t="shared" si="3"/>
        <v>4427.5390512278327</v>
      </c>
    </row>
    <row r="28" spans="1:13" s="7" customFormat="1">
      <c r="A28" s="25">
        <v>18</v>
      </c>
      <c r="B28" s="26" t="s">
        <v>28</v>
      </c>
      <c r="C28" s="27">
        <v>961</v>
      </c>
      <c r="D28" s="28">
        <v>4253</v>
      </c>
      <c r="E28" s="28">
        <v>2018</v>
      </c>
      <c r="F28" s="28">
        <v>88</v>
      </c>
      <c r="G28" s="28">
        <v>0</v>
      </c>
      <c r="H28" s="29">
        <f t="shared" si="0"/>
        <v>1.9488033298647243</v>
      </c>
      <c r="I28" s="30"/>
      <c r="J28" s="36">
        <v>246.90799999999999</v>
      </c>
      <c r="K28" s="37">
        <f t="shared" si="1"/>
        <v>0.25692819979188342</v>
      </c>
      <c r="L28" s="37">
        <f t="shared" si="2"/>
        <v>0.13183895771038015</v>
      </c>
      <c r="M28" s="36">
        <f t="shared" si="3"/>
        <v>6186.1164026003553</v>
      </c>
    </row>
    <row r="29" spans="1:13" s="7" customFormat="1">
      <c r="A29" s="25">
        <v>19</v>
      </c>
      <c r="B29" s="26" t="s">
        <v>29</v>
      </c>
      <c r="C29" s="27">
        <v>1326</v>
      </c>
      <c r="D29" s="28">
        <v>7092</v>
      </c>
      <c r="E29" s="28">
        <v>2393</v>
      </c>
      <c r="F29" s="28">
        <v>739</v>
      </c>
      <c r="G29" s="28">
        <v>0</v>
      </c>
      <c r="H29" s="29">
        <f t="shared" si="0"/>
        <v>2.0556184012066363</v>
      </c>
      <c r="I29" s="30"/>
      <c r="J29" s="36">
        <v>8013</v>
      </c>
      <c r="K29" s="37">
        <f t="shared" si="1"/>
        <v>6.0429864253393664</v>
      </c>
      <c r="L29" s="37">
        <f t="shared" si="2"/>
        <v>2.9397413555902046</v>
      </c>
      <c r="M29" s="36">
        <f t="shared" si="3"/>
        <v>0</v>
      </c>
    </row>
    <row r="30" spans="1:13" s="7" customFormat="1">
      <c r="A30" s="25">
        <v>20</v>
      </c>
      <c r="B30" s="26" t="s">
        <v>30</v>
      </c>
      <c r="C30" s="27">
        <v>33043</v>
      </c>
      <c r="D30" s="28">
        <v>61289</v>
      </c>
      <c r="E30" s="28">
        <v>23307</v>
      </c>
      <c r="F30" s="28">
        <v>14059</v>
      </c>
      <c r="G30" s="28">
        <v>1210</v>
      </c>
      <c r="H30" s="29">
        <f t="shared" si="0"/>
        <v>0.79295614804951131</v>
      </c>
      <c r="I30" s="30"/>
      <c r="J30" s="36">
        <v>111416.465</v>
      </c>
      <c r="K30" s="37">
        <f t="shared" si="1"/>
        <v>3.3718628756468845</v>
      </c>
      <c r="L30" s="37">
        <f t="shared" si="2"/>
        <v>4.2522690364919766</v>
      </c>
      <c r="M30" s="36">
        <f t="shared" si="3"/>
        <v>0</v>
      </c>
    </row>
    <row r="31" spans="1:13" s="7" customFormat="1">
      <c r="A31" s="25">
        <v>21</v>
      </c>
      <c r="B31" s="26" t="s">
        <v>31</v>
      </c>
      <c r="C31" s="27">
        <v>328</v>
      </c>
      <c r="D31" s="28">
        <v>2784</v>
      </c>
      <c r="E31" s="28">
        <v>882</v>
      </c>
      <c r="F31" s="28">
        <v>89</v>
      </c>
      <c r="G31" s="28">
        <v>0</v>
      </c>
      <c r="H31" s="29">
        <f t="shared" si="0"/>
        <v>3.0827743902439027</v>
      </c>
      <c r="I31" s="30"/>
      <c r="J31" s="36">
        <v>238.8235294117647</v>
      </c>
      <c r="K31" s="37">
        <f t="shared" si="1"/>
        <v>0.72812051649928256</v>
      </c>
      <c r="L31" s="37">
        <f t="shared" si="2"/>
        <v>0.23619001079144011</v>
      </c>
      <c r="M31" s="36">
        <f t="shared" si="3"/>
        <v>3096.245127422053</v>
      </c>
    </row>
    <row r="32" spans="1:13" s="7" customFormat="1">
      <c r="A32" s="25">
        <v>22</v>
      </c>
      <c r="B32" s="26" t="s">
        <v>32</v>
      </c>
      <c r="C32" s="27">
        <v>1611</v>
      </c>
      <c r="D32" s="28">
        <v>6443</v>
      </c>
      <c r="E32" s="28">
        <v>1575</v>
      </c>
      <c r="F32" s="28">
        <v>302</v>
      </c>
      <c r="G32" s="28">
        <v>13</v>
      </c>
      <c r="H32" s="29">
        <f t="shared" si="0"/>
        <v>1.3180322780881442</v>
      </c>
      <c r="I32" s="30"/>
      <c r="J32" s="36">
        <v>2356</v>
      </c>
      <c r="K32" s="37">
        <f t="shared" si="1"/>
        <v>1.4624456859093731</v>
      </c>
      <c r="L32" s="37">
        <f t="shared" si="2"/>
        <v>1.1095674288270891</v>
      </c>
      <c r="M32" s="36">
        <f t="shared" si="3"/>
        <v>2218.3349254635336</v>
      </c>
    </row>
    <row r="33" spans="1:13" s="7" customFormat="1">
      <c r="A33" s="25">
        <v>23</v>
      </c>
      <c r="B33" s="26" t="s">
        <v>33</v>
      </c>
      <c r="C33" s="27">
        <v>426</v>
      </c>
      <c r="D33" s="28">
        <v>3086</v>
      </c>
      <c r="E33" s="28">
        <v>976</v>
      </c>
      <c r="F33" s="28">
        <v>75</v>
      </c>
      <c r="G33" s="28">
        <v>38</v>
      </c>
      <c r="H33" s="29">
        <f t="shared" si="0"/>
        <v>2.6341549295774649</v>
      </c>
      <c r="I33" s="30"/>
      <c r="J33" s="36">
        <v>1010.2516917237917</v>
      </c>
      <c r="K33" s="37">
        <f t="shared" si="1"/>
        <v>2.3714828444220464</v>
      </c>
      <c r="L33" s="37">
        <f t="shared" si="2"/>
        <v>0.90028221870854319</v>
      </c>
      <c r="M33" s="36">
        <f t="shared" si="3"/>
        <v>1714.8141568636761</v>
      </c>
    </row>
    <row r="34" spans="1:13" s="7" customFormat="1">
      <c r="A34" s="25">
        <v>24</v>
      </c>
      <c r="B34" s="26" t="s">
        <v>34</v>
      </c>
      <c r="C34" s="27">
        <v>349</v>
      </c>
      <c r="D34" s="28">
        <v>3371</v>
      </c>
      <c r="E34" s="28">
        <v>1929</v>
      </c>
      <c r="F34" s="28">
        <v>62</v>
      </c>
      <c r="G34" s="28">
        <v>30</v>
      </c>
      <c r="H34" s="29">
        <f t="shared" si="0"/>
        <v>4.7349570200573066</v>
      </c>
      <c r="I34" s="30"/>
      <c r="J34" s="36">
        <v>260.90566037735852</v>
      </c>
      <c r="K34" s="37">
        <f t="shared" si="1"/>
        <v>0.74758068876033956</v>
      </c>
      <c r="L34" s="37">
        <f t="shared" si="2"/>
        <v>0.15788542231610198</v>
      </c>
      <c r="M34" s="36">
        <f t="shared" si="3"/>
        <v>5359.0151737589704</v>
      </c>
    </row>
    <row r="35" spans="1:13" s="7" customFormat="1">
      <c r="A35" s="25">
        <v>25</v>
      </c>
      <c r="B35" s="26" t="s">
        <v>35</v>
      </c>
      <c r="C35" s="27">
        <v>637</v>
      </c>
      <c r="D35" s="28">
        <v>4316</v>
      </c>
      <c r="E35" s="28">
        <v>1893</v>
      </c>
      <c r="F35" s="28">
        <v>38</v>
      </c>
      <c r="G35" s="28">
        <v>0</v>
      </c>
      <c r="H35" s="29">
        <f t="shared" si="0"/>
        <v>2.8499215070643644</v>
      </c>
      <c r="I35" s="30"/>
      <c r="J35" s="36">
        <v>312.71010543961199</v>
      </c>
      <c r="K35" s="37">
        <f t="shared" si="1"/>
        <v>0.49091068357866874</v>
      </c>
      <c r="L35" s="37">
        <f t="shared" si="2"/>
        <v>0.17225410677515257</v>
      </c>
      <c r="M35" s="36">
        <f t="shared" si="3"/>
        <v>5827.0435223564591</v>
      </c>
    </row>
    <row r="36" spans="1:13" s="7" customFormat="1">
      <c r="A36" s="25">
        <v>26</v>
      </c>
      <c r="B36" s="26" t="s">
        <v>36</v>
      </c>
      <c r="C36" s="27">
        <v>1416</v>
      </c>
      <c r="D36" s="28">
        <v>5508</v>
      </c>
      <c r="E36" s="28">
        <v>1748</v>
      </c>
      <c r="F36" s="28">
        <v>197</v>
      </c>
      <c r="G36" s="28">
        <v>0</v>
      </c>
      <c r="H36" s="29">
        <f t="shared" si="0"/>
        <v>1.416066384180791</v>
      </c>
      <c r="I36" s="30"/>
      <c r="J36" s="36">
        <v>911.66699999999992</v>
      </c>
      <c r="K36" s="37">
        <f t="shared" si="1"/>
        <v>0.64383262711864397</v>
      </c>
      <c r="L36" s="37">
        <f t="shared" si="2"/>
        <v>0.45466274343565311</v>
      </c>
      <c r="M36" s="36">
        <f t="shared" si="3"/>
        <v>5128.0986560178608</v>
      </c>
    </row>
    <row r="37" spans="1:13" s="7" customFormat="1">
      <c r="A37" s="25">
        <v>27</v>
      </c>
      <c r="B37" s="26" t="s">
        <v>37</v>
      </c>
      <c r="C37" s="27">
        <v>1786</v>
      </c>
      <c r="D37" s="28">
        <v>6084</v>
      </c>
      <c r="E37" s="28">
        <v>5321</v>
      </c>
      <c r="F37" s="28">
        <v>198</v>
      </c>
      <c r="G37" s="28">
        <v>72</v>
      </c>
      <c r="H37" s="29">
        <f t="shared" si="0"/>
        <v>2.1936170212765957</v>
      </c>
      <c r="I37" s="30"/>
      <c r="J37" s="36">
        <v>1909.0676478468499</v>
      </c>
      <c r="K37" s="37">
        <f t="shared" si="1"/>
        <v>1.0689068576970044</v>
      </c>
      <c r="L37" s="37">
        <f t="shared" si="2"/>
        <v>0.48728052678718919</v>
      </c>
      <c r="M37" s="36">
        <f t="shared" si="3"/>
        <v>9724.4565296210822</v>
      </c>
    </row>
    <row r="38" spans="1:13" s="7" customFormat="1">
      <c r="A38" s="25">
        <v>28</v>
      </c>
      <c r="B38" s="26" t="s">
        <v>38</v>
      </c>
      <c r="C38" s="27">
        <v>5180</v>
      </c>
      <c r="D38" s="28">
        <v>9839</v>
      </c>
      <c r="E38" s="28">
        <v>2758</v>
      </c>
      <c r="F38" s="28">
        <v>2685</v>
      </c>
      <c r="G38" s="28">
        <v>36</v>
      </c>
      <c r="H38" s="29">
        <f t="shared" si="0"/>
        <v>0.7248938223938225</v>
      </c>
      <c r="I38" s="30"/>
      <c r="J38" s="36">
        <v>4605.6819999999998</v>
      </c>
      <c r="K38" s="37">
        <f t="shared" si="1"/>
        <v>0.88912779922779916</v>
      </c>
      <c r="L38" s="37">
        <f t="shared" si="2"/>
        <v>1.2265628037656957</v>
      </c>
      <c r="M38" s="36">
        <f t="shared" si="3"/>
        <v>2908.178658518736</v>
      </c>
    </row>
  </sheetData>
  <sheetProtection autoFilter="0"/>
  <mergeCells count="4">
    <mergeCell ref="A1:H1"/>
    <mergeCell ref="A2:H2"/>
    <mergeCell ref="A3:H3"/>
    <mergeCell ref="C5:H5"/>
  </mergeCells>
  <conditionalFormatting sqref="L11:L38">
    <cfRule type="cellIs" dxfId="4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0"/>
  <sheetViews>
    <sheetView workbookViewId="0">
      <pane xSplit="2" ySplit="9" topLeftCell="F10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T17" sqref="T17"/>
    </sheetView>
  </sheetViews>
  <sheetFormatPr defaultColWidth="9.140625" defaultRowHeight="15.75"/>
  <cols>
    <col min="1" max="1" width="6" style="8" bestFit="1" customWidth="1"/>
    <col min="2" max="2" width="43" style="8" customWidth="1"/>
    <col min="3" max="3" width="15.7109375" style="1" customWidth="1"/>
    <col min="4" max="7" width="13.7109375" style="1" customWidth="1"/>
    <col min="8" max="15" width="9.7109375" style="1" customWidth="1"/>
    <col min="16" max="16" width="13.28515625" style="9" customWidth="1"/>
    <col min="17" max="18" width="17.28515625" style="1" customWidth="1"/>
    <col min="19" max="22" width="12.140625" style="31" customWidth="1"/>
    <col min="23" max="16384" width="9.140625" style="1"/>
  </cols>
  <sheetData>
    <row r="1" spans="1:23" ht="25.5">
      <c r="A1" s="228" t="s">
        <v>90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1:23" ht="30.75">
      <c r="A2" s="228" t="s">
        <v>44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</row>
    <row r="3" spans="1:23" ht="20.25">
      <c r="A3" s="229" t="s">
        <v>4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</row>
    <row r="4" spans="1:23" s="11" customFormat="1" ht="19.5" thickBot="1">
      <c r="A4" s="227" t="s">
        <v>43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S4" s="32"/>
      <c r="T4" s="32"/>
      <c r="U4" s="32"/>
      <c r="V4" s="32"/>
    </row>
    <row r="5" spans="1:23" s="11" customFormat="1" ht="27">
      <c r="A5" s="10"/>
      <c r="B5" s="10"/>
      <c r="C5" s="10"/>
      <c r="D5" s="12" t="s">
        <v>6</v>
      </c>
      <c r="E5" s="12" t="s">
        <v>7</v>
      </c>
      <c r="F5" s="12" t="s">
        <v>8</v>
      </c>
      <c r="G5" s="12" t="s">
        <v>10</v>
      </c>
      <c r="H5" s="10"/>
      <c r="I5" s="10"/>
      <c r="J5" s="10"/>
      <c r="K5" s="10"/>
      <c r="L5" s="10"/>
      <c r="M5" s="10"/>
      <c r="N5" s="10"/>
      <c r="O5" s="10"/>
      <c r="P5" s="55"/>
      <c r="Q5" s="10"/>
      <c r="R5" s="10"/>
      <c r="S5" s="33"/>
      <c r="T5" s="33"/>
      <c r="U5" s="33"/>
      <c r="V5" s="33"/>
      <c r="W5" s="10"/>
    </row>
    <row r="6" spans="1:23" s="11" customFormat="1" ht="19.5" thickBot="1">
      <c r="A6" s="10"/>
      <c r="B6" s="10"/>
      <c r="C6" s="10"/>
      <c r="D6" s="57">
        <v>0.3</v>
      </c>
      <c r="E6" s="57">
        <v>0.4</v>
      </c>
      <c r="F6" s="57">
        <v>0.2</v>
      </c>
      <c r="G6" s="17">
        <f>1-D6-E6-F6</f>
        <v>9.9999999999999922E-2</v>
      </c>
      <c r="H6" s="10"/>
      <c r="I6" s="10"/>
      <c r="J6" s="10"/>
      <c r="K6" s="10"/>
      <c r="L6" s="10"/>
      <c r="M6" s="10"/>
      <c r="N6" s="10"/>
      <c r="O6" s="10"/>
      <c r="P6" s="55"/>
      <c r="Q6" s="10"/>
      <c r="R6" s="10"/>
      <c r="S6" s="33"/>
      <c r="T6" s="33"/>
      <c r="U6" s="33"/>
      <c r="V6" s="33"/>
      <c r="W6" s="10"/>
    </row>
    <row r="7" spans="1:23" s="40" customFormat="1" ht="27.75" customHeight="1">
      <c r="A7" s="219" t="s">
        <v>0</v>
      </c>
      <c r="B7" s="219" t="s">
        <v>5</v>
      </c>
      <c r="C7" s="219" t="s">
        <v>3</v>
      </c>
      <c r="D7" s="219" t="s">
        <v>85</v>
      </c>
      <c r="E7" s="219" t="s">
        <v>86</v>
      </c>
      <c r="F7" s="219" t="s">
        <v>88</v>
      </c>
      <c r="G7" s="219" t="s">
        <v>87</v>
      </c>
      <c r="H7" s="230" t="s">
        <v>79</v>
      </c>
      <c r="I7" s="230"/>
      <c r="J7" s="230"/>
      <c r="K7" s="230"/>
      <c r="L7" s="224" t="s">
        <v>84</v>
      </c>
      <c r="M7" s="225"/>
      <c r="N7" s="225"/>
      <c r="O7" s="226"/>
      <c r="P7" s="231" t="s">
        <v>89</v>
      </c>
      <c r="Q7" s="40" t="s">
        <v>89</v>
      </c>
      <c r="S7" s="34" t="s">
        <v>75</v>
      </c>
      <c r="T7" s="34" t="s">
        <v>76</v>
      </c>
      <c r="U7" s="34" t="s">
        <v>78</v>
      </c>
      <c r="V7" s="34" t="s">
        <v>77</v>
      </c>
    </row>
    <row r="8" spans="1:23" s="40" customFormat="1" ht="86.25" customHeight="1">
      <c r="A8" s="220"/>
      <c r="B8" s="220"/>
      <c r="C8" s="220"/>
      <c r="D8" s="220"/>
      <c r="E8" s="220"/>
      <c r="F8" s="220"/>
      <c r="G8" s="220"/>
      <c r="H8" s="41" t="s">
        <v>80</v>
      </c>
      <c r="I8" s="41" t="s">
        <v>81</v>
      </c>
      <c r="J8" s="41" t="s">
        <v>82</v>
      </c>
      <c r="K8" s="41" t="s">
        <v>83</v>
      </c>
      <c r="L8" s="41" t="s">
        <v>80</v>
      </c>
      <c r="M8" s="41" t="s">
        <v>81</v>
      </c>
      <c r="N8" s="41" t="s">
        <v>82</v>
      </c>
      <c r="O8" s="41" t="s">
        <v>83</v>
      </c>
      <c r="P8" s="232"/>
      <c r="S8" s="34"/>
      <c r="T8" s="34"/>
      <c r="U8" s="34"/>
      <c r="V8" s="34"/>
    </row>
    <row r="9" spans="1:23" s="47" customFormat="1" ht="12.75">
      <c r="A9" s="42">
        <f>COUNT(C10:C40)</f>
        <v>12</v>
      </c>
      <c r="B9" s="43" t="s">
        <v>1</v>
      </c>
      <c r="C9" s="44">
        <f>SUM(C10:C40)</f>
        <v>21354</v>
      </c>
      <c r="D9" s="44">
        <f>SUM(D10:D40)</f>
        <v>80321</v>
      </c>
      <c r="E9" s="44">
        <f>SUM(E10:E40)</f>
        <v>46284</v>
      </c>
      <c r="F9" s="44">
        <f>SUM(F10:F40)</f>
        <v>3820</v>
      </c>
      <c r="G9" s="44">
        <f>SUM(G10:G40)</f>
        <v>2318</v>
      </c>
      <c r="H9" s="56">
        <f>MAX(H10:H40)</f>
        <v>6.352864583333333</v>
      </c>
      <c r="I9" s="56">
        <f>MAX(I10:I40)</f>
        <v>4.5335999999999999</v>
      </c>
      <c r="J9" s="56">
        <f>MAX(J10:J40)</f>
        <v>0.38812175204157384</v>
      </c>
      <c r="K9" s="56">
        <f>MAX(K10:K40)</f>
        <v>0.39705882352941174</v>
      </c>
      <c r="L9" s="45"/>
      <c r="M9" s="45"/>
      <c r="N9" s="45"/>
      <c r="O9" s="45"/>
      <c r="P9" s="46"/>
      <c r="S9" s="35">
        <f>SUM(S10:S40)</f>
        <v>23736.69389300016</v>
      </c>
      <c r="T9" s="38">
        <f t="shared" ref="T9:T17" si="0">S9/C9</f>
        <v>1.1115806824482608</v>
      </c>
      <c r="U9" s="39">
        <v>1.7887127140441861</v>
      </c>
      <c r="V9" s="35" t="e">
        <f>SUM(V10:V40)</f>
        <v>#DIV/0!</v>
      </c>
      <c r="W9" s="48"/>
    </row>
    <row r="10" spans="1:23" s="52" customFormat="1" ht="12.75">
      <c r="A10" s="49">
        <v>1</v>
      </c>
      <c r="B10" s="58" t="s">
        <v>45</v>
      </c>
      <c r="C10" s="59">
        <v>1890</v>
      </c>
      <c r="D10" s="59">
        <v>7306</v>
      </c>
      <c r="E10" s="59">
        <v>5086</v>
      </c>
      <c r="F10" s="59">
        <v>267</v>
      </c>
      <c r="G10" s="59">
        <v>0</v>
      </c>
      <c r="H10" s="53">
        <f t="shared" ref="H10:H26" si="1">IF($C10=0, ,D10/$C10)</f>
        <v>3.8656084656084655</v>
      </c>
      <c r="I10" s="53">
        <f t="shared" ref="I10:K25" si="2">IF($C10=0, ,E10/$C10)</f>
        <v>2.6910052910052911</v>
      </c>
      <c r="J10" s="53">
        <f t="shared" si="2"/>
        <v>0.14126984126984127</v>
      </c>
      <c r="K10" s="53">
        <f t="shared" si="2"/>
        <v>0</v>
      </c>
      <c r="L10" s="50">
        <f>H10/H$9*D$6</f>
        <v>0.18254482280717163</v>
      </c>
      <c r="M10" s="50">
        <f>I10/I$9*E$6</f>
        <v>0.23742767699005568</v>
      </c>
      <c r="N10" s="50">
        <f>J10/J$9*F$6</f>
        <v>7.279666265894269E-2</v>
      </c>
      <c r="O10" s="50">
        <f>K10/K$9*G$6</f>
        <v>0</v>
      </c>
      <c r="P10" s="54">
        <f>IF(C10=0,0,L10+M10+N10+O10)</f>
        <v>0.49276916245616997</v>
      </c>
      <c r="Q10" s="62">
        <v>1.5660352484604247</v>
      </c>
      <c r="R10" s="51"/>
      <c r="S10" s="36">
        <v>2414.719013071569</v>
      </c>
      <c r="T10" s="37">
        <f t="shared" si="0"/>
        <v>1.2776291074452746</v>
      </c>
      <c r="U10" s="37">
        <f t="shared" ref="U10:U17" si="3">T10/P10</f>
        <v>2.5927537776045697</v>
      </c>
      <c r="V10" s="36">
        <f t="shared" ref="V10:V40" si="4">IF($T$9*($U$9-U10)*P10*C10&lt;0,0,$T$9*($U$9-U10)*P10*C10)</f>
        <v>0</v>
      </c>
      <c r="W10" s="48"/>
    </row>
    <row r="11" spans="1:23" s="52" customFormat="1" ht="12.75">
      <c r="A11" s="49">
        <v>2</v>
      </c>
      <c r="B11" s="58" t="s">
        <v>46</v>
      </c>
      <c r="C11" s="59">
        <v>1469</v>
      </c>
      <c r="D11" s="59">
        <v>6103</v>
      </c>
      <c r="E11" s="59">
        <v>4906</v>
      </c>
      <c r="F11" s="59">
        <v>121</v>
      </c>
      <c r="G11" s="59">
        <v>0</v>
      </c>
      <c r="H11" s="53">
        <f t="shared" si="1"/>
        <v>4.154526889040163</v>
      </c>
      <c r="I11" s="53">
        <f t="shared" si="2"/>
        <v>3.3396868618107556</v>
      </c>
      <c r="J11" s="53">
        <f t="shared" si="2"/>
        <v>8.2368958475153159E-2</v>
      </c>
      <c r="K11" s="53">
        <f t="shared" si="2"/>
        <v>0</v>
      </c>
      <c r="L11" s="50">
        <f>H11/H$9*D$6</f>
        <v>0.19618835729347275</v>
      </c>
      <c r="M11" s="50">
        <f t="shared" ref="M11:M40" si="5">I11/I$9*E$6</f>
        <v>0.29466091951744805</v>
      </c>
      <c r="N11" s="50">
        <f t="shared" ref="N11:N40" si="6">J11/J$9*F$6</f>
        <v>4.24449070642813E-2</v>
      </c>
      <c r="O11" s="50">
        <f t="shared" ref="O11:O40" si="7">K11/K$9*G$6</f>
        <v>0</v>
      </c>
      <c r="P11" s="54">
        <f t="shared" ref="P11:P40" si="8">IF(C11=0,0,L11+M11+N11+O11)</f>
        <v>0.53329418387520211</v>
      </c>
      <c r="Q11" s="62">
        <v>1.6028380250932692</v>
      </c>
      <c r="R11" s="51"/>
      <c r="S11" s="36">
        <v>1288.6809186882713</v>
      </c>
      <c r="T11" s="37">
        <f t="shared" si="0"/>
        <v>0.87725045519964007</v>
      </c>
      <c r="U11" s="37">
        <f t="shared" si="3"/>
        <v>1.6449653525659456</v>
      </c>
      <c r="V11" s="36">
        <f>IF($T$9*($U$9-U11)*P11*C11&lt;0,0,$T$9*($U$9-U11)*P11*C11)</f>
        <v>125.17843444669268</v>
      </c>
      <c r="W11" s="48"/>
    </row>
    <row r="12" spans="1:23" s="52" customFormat="1" ht="12.75">
      <c r="A12" s="49">
        <v>3</v>
      </c>
      <c r="B12" s="58" t="s">
        <v>47</v>
      </c>
      <c r="C12" s="59">
        <v>768</v>
      </c>
      <c r="D12" s="59">
        <v>4879</v>
      </c>
      <c r="E12" s="59">
        <v>3324</v>
      </c>
      <c r="F12" s="59">
        <v>111</v>
      </c>
      <c r="G12" s="59">
        <v>0</v>
      </c>
      <c r="H12" s="53">
        <f t="shared" si="1"/>
        <v>6.352864583333333</v>
      </c>
      <c r="I12" s="53">
        <f t="shared" si="2"/>
        <v>4.328125</v>
      </c>
      <c r="J12" s="53">
        <f t="shared" si="2"/>
        <v>0.14453125</v>
      </c>
      <c r="K12" s="53">
        <f t="shared" si="2"/>
        <v>0</v>
      </c>
      <c r="L12" s="50">
        <f t="shared" ref="L12:L40" si="9">H12/H$9*D$6</f>
        <v>0.3</v>
      </c>
      <c r="M12" s="50">
        <f t="shared" si="5"/>
        <v>0.38187091935768486</v>
      </c>
      <c r="N12" s="50">
        <f t="shared" si="6"/>
        <v>7.4477273814078052E-2</v>
      </c>
      <c r="O12" s="50">
        <f t="shared" si="7"/>
        <v>0</v>
      </c>
      <c r="P12" s="54">
        <f t="shared" si="8"/>
        <v>0.75634819317176294</v>
      </c>
      <c r="Q12" s="62">
        <v>2.3270636674646026</v>
      </c>
      <c r="R12" s="51"/>
      <c r="S12" s="36">
        <v>286.80399999999997</v>
      </c>
      <c r="T12" s="37">
        <f t="shared" si="0"/>
        <v>0.37344270833333332</v>
      </c>
      <c r="U12" s="37">
        <f t="shared" si="3"/>
        <v>0.49374443107650329</v>
      </c>
      <c r="V12" s="36">
        <f t="shared" si="4"/>
        <v>836.14792466576023</v>
      </c>
      <c r="W12" s="48"/>
    </row>
    <row r="13" spans="1:23" s="52" customFormat="1" ht="12.75">
      <c r="A13" s="49">
        <v>4</v>
      </c>
      <c r="B13" s="58" t="s">
        <v>48</v>
      </c>
      <c r="C13" s="59">
        <v>1355</v>
      </c>
      <c r="D13" s="59">
        <v>6055</v>
      </c>
      <c r="E13" s="59">
        <v>3309</v>
      </c>
      <c r="F13" s="59">
        <v>0</v>
      </c>
      <c r="G13" s="59">
        <v>0</v>
      </c>
      <c r="H13" s="53">
        <f t="shared" si="1"/>
        <v>4.4686346863468636</v>
      </c>
      <c r="I13" s="53">
        <f t="shared" si="2"/>
        <v>2.4420664206642066</v>
      </c>
      <c r="J13" s="53">
        <f t="shared" si="2"/>
        <v>0</v>
      </c>
      <c r="K13" s="53">
        <f t="shared" si="2"/>
        <v>0</v>
      </c>
      <c r="L13" s="50">
        <f t="shared" si="9"/>
        <v>0.21102140433169037</v>
      </c>
      <c r="M13" s="50">
        <f t="shared" si="5"/>
        <v>0.21546377454245694</v>
      </c>
      <c r="N13" s="50">
        <f t="shared" si="6"/>
        <v>0</v>
      </c>
      <c r="O13" s="50">
        <f t="shared" si="7"/>
        <v>0</v>
      </c>
      <c r="P13" s="54">
        <f t="shared" si="8"/>
        <v>0.42648517887414727</v>
      </c>
      <c r="Q13" s="62">
        <v>1.2420641174617768</v>
      </c>
      <c r="R13" s="51"/>
      <c r="S13" s="36">
        <v>908</v>
      </c>
      <c r="T13" s="37">
        <f t="shared" si="0"/>
        <v>0.6701107011070111</v>
      </c>
      <c r="U13" s="37">
        <f t="shared" si="3"/>
        <v>1.5712403016583045</v>
      </c>
      <c r="V13" s="36">
        <f t="shared" si="4"/>
        <v>139.69742511386625</v>
      </c>
      <c r="W13" s="48"/>
    </row>
    <row r="14" spans="1:23" s="52" customFormat="1" ht="12.75">
      <c r="A14" s="49">
        <v>5</v>
      </c>
      <c r="B14" s="58" t="s">
        <v>49</v>
      </c>
      <c r="C14" s="59">
        <v>1250</v>
      </c>
      <c r="D14" s="59">
        <v>5601</v>
      </c>
      <c r="E14" s="59">
        <v>5667</v>
      </c>
      <c r="F14" s="59">
        <v>82</v>
      </c>
      <c r="G14" s="59">
        <v>0</v>
      </c>
      <c r="H14" s="53">
        <f t="shared" si="1"/>
        <v>4.4808000000000003</v>
      </c>
      <c r="I14" s="53">
        <f t="shared" si="2"/>
        <v>4.5335999999999999</v>
      </c>
      <c r="J14" s="53">
        <f t="shared" si="2"/>
        <v>6.5600000000000006E-2</v>
      </c>
      <c r="K14" s="53">
        <f t="shared" si="2"/>
        <v>0</v>
      </c>
      <c r="L14" s="50">
        <f t="shared" si="9"/>
        <v>0.21159588440254154</v>
      </c>
      <c r="M14" s="50">
        <f t="shared" si="5"/>
        <v>0.4</v>
      </c>
      <c r="N14" s="50">
        <f t="shared" si="6"/>
        <v>3.3803825554705437E-2</v>
      </c>
      <c r="O14" s="50">
        <f t="shared" si="7"/>
        <v>0</v>
      </c>
      <c r="P14" s="54">
        <f t="shared" si="8"/>
        <v>0.64539970995724694</v>
      </c>
      <c r="Q14" s="62">
        <v>1.8743387424486657</v>
      </c>
      <c r="R14" s="51"/>
      <c r="S14" s="36">
        <v>1336.854</v>
      </c>
      <c r="T14" s="37">
        <f t="shared" si="0"/>
        <v>1.0694832000000001</v>
      </c>
      <c r="U14" s="37">
        <f t="shared" si="3"/>
        <v>1.657086582934544</v>
      </c>
      <c r="V14" s="36">
        <f>IF($T$9*($U$9-U14)*P14*C14&lt;0,0,$T$9*($U$9-U14)*P14*C14)</f>
        <v>118.03801185756546</v>
      </c>
      <c r="W14" s="48"/>
    </row>
    <row r="15" spans="1:23" s="52" customFormat="1" ht="12.75">
      <c r="A15" s="49">
        <v>6</v>
      </c>
      <c r="B15" s="58" t="s">
        <v>50</v>
      </c>
      <c r="C15" s="59">
        <v>1192</v>
      </c>
      <c r="D15" s="59">
        <v>6086</v>
      </c>
      <c r="E15" s="59">
        <v>2509</v>
      </c>
      <c r="F15" s="59">
        <v>5</v>
      </c>
      <c r="G15" s="59">
        <v>0</v>
      </c>
      <c r="H15" s="53">
        <f t="shared" si="1"/>
        <v>5.1057046979865772</v>
      </c>
      <c r="I15" s="53">
        <f t="shared" si="2"/>
        <v>2.1048657718120807</v>
      </c>
      <c r="J15" s="53">
        <f t="shared" si="2"/>
        <v>4.1946308724832215E-3</v>
      </c>
      <c r="K15" s="53">
        <f t="shared" si="2"/>
        <v>0</v>
      </c>
      <c r="L15" s="50">
        <f t="shared" si="9"/>
        <v>0.24110562869770596</v>
      </c>
      <c r="M15" s="50">
        <f t="shared" si="5"/>
        <v>0.1857125261877608</v>
      </c>
      <c r="N15" s="50">
        <f t="shared" si="6"/>
        <v>2.1615025957287298E-3</v>
      </c>
      <c r="O15" s="50">
        <f t="shared" si="7"/>
        <v>0</v>
      </c>
      <c r="P15" s="54">
        <f t="shared" si="8"/>
        <v>0.42897965748119549</v>
      </c>
      <c r="Q15" s="62">
        <v>1.2787742574403989</v>
      </c>
      <c r="R15" s="51"/>
      <c r="S15" s="36">
        <v>682.69100000000003</v>
      </c>
      <c r="T15" s="37">
        <f t="shared" si="0"/>
        <v>0.57272734899328859</v>
      </c>
      <c r="U15" s="37">
        <f t="shared" si="3"/>
        <v>1.3350920935415087</v>
      </c>
      <c r="V15" s="36">
        <f t="shared" si="4"/>
        <v>257.83788652669921</v>
      </c>
      <c r="W15" s="48"/>
    </row>
    <row r="16" spans="1:23" s="52" customFormat="1" ht="12.75">
      <c r="A16" s="49">
        <v>7</v>
      </c>
      <c r="B16" s="58" t="s">
        <v>51</v>
      </c>
      <c r="C16" s="59">
        <v>1122</v>
      </c>
      <c r="D16" s="59">
        <v>5405</v>
      </c>
      <c r="E16" s="59">
        <v>4837</v>
      </c>
      <c r="F16" s="59">
        <v>30</v>
      </c>
      <c r="G16" s="59">
        <v>0</v>
      </c>
      <c r="H16" s="53">
        <f t="shared" si="1"/>
        <v>4.8172905525846703</v>
      </c>
      <c r="I16" s="53">
        <f t="shared" si="2"/>
        <v>4.311051693404635</v>
      </c>
      <c r="J16" s="53">
        <f t="shared" si="2"/>
        <v>2.6737967914438502E-2</v>
      </c>
      <c r="K16" s="53">
        <f t="shared" si="2"/>
        <v>0</v>
      </c>
      <c r="L16" s="50">
        <f t="shared" si="9"/>
        <v>0.22748590762769175</v>
      </c>
      <c r="M16" s="50">
        <f t="shared" si="5"/>
        <v>0.38036453973924789</v>
      </c>
      <c r="N16" s="50">
        <f t="shared" si="6"/>
        <v>1.3778134193094364E-2</v>
      </c>
      <c r="O16" s="50">
        <f t="shared" si="7"/>
        <v>0</v>
      </c>
      <c r="P16" s="54">
        <f t="shared" si="8"/>
        <v>0.62162858156003398</v>
      </c>
      <c r="Q16" s="62">
        <v>1.7780883790725639</v>
      </c>
      <c r="R16" s="51"/>
      <c r="S16" s="36">
        <v>672.75779844961244</v>
      </c>
      <c r="T16" s="37">
        <f t="shared" si="0"/>
        <v>0.5996058809711341</v>
      </c>
      <c r="U16" s="37">
        <f t="shared" si="3"/>
        <v>0.96457257397394458</v>
      </c>
      <c r="V16" s="36">
        <f t="shared" si="4"/>
        <v>638.94855062358204</v>
      </c>
      <c r="W16" s="48"/>
    </row>
    <row r="17" spans="1:23" s="52" customFormat="1" ht="12.75">
      <c r="A17" s="49">
        <v>8</v>
      </c>
      <c r="B17" s="58" t="s">
        <v>52</v>
      </c>
      <c r="C17" s="59">
        <v>6735</v>
      </c>
      <c r="D17" s="59">
        <v>14599</v>
      </c>
      <c r="E17" s="59">
        <v>3936</v>
      </c>
      <c r="F17" s="59">
        <v>2614</v>
      </c>
      <c r="G17" s="59">
        <v>1670</v>
      </c>
      <c r="H17" s="53">
        <f t="shared" si="1"/>
        <v>2.1676317743132887</v>
      </c>
      <c r="I17" s="53">
        <f t="shared" si="2"/>
        <v>0.58440979955456573</v>
      </c>
      <c r="J17" s="53">
        <f t="shared" si="2"/>
        <v>0.38812175204157384</v>
      </c>
      <c r="K17" s="53">
        <f t="shared" si="2"/>
        <v>0.2479584261321455</v>
      </c>
      <c r="L17" s="50">
        <f t="shared" si="9"/>
        <v>0.10236162344779293</v>
      </c>
      <c r="M17" s="50">
        <f t="shared" si="5"/>
        <v>5.156253745849354E-2</v>
      </c>
      <c r="N17" s="50">
        <f t="shared" si="6"/>
        <v>0.2</v>
      </c>
      <c r="O17" s="50">
        <f t="shared" si="7"/>
        <v>6.2448788803651421E-2</v>
      </c>
      <c r="P17" s="54">
        <f t="shared" si="8"/>
        <v>0.41637294970993788</v>
      </c>
      <c r="Q17" s="62">
        <v>2.0945996431753917</v>
      </c>
      <c r="R17" s="51"/>
      <c r="S17" s="36">
        <v>672.75779844961244</v>
      </c>
      <c r="T17" s="37">
        <f t="shared" si="0"/>
        <v>9.9889799324367104E-2</v>
      </c>
      <c r="U17" s="37">
        <f t="shared" si="3"/>
        <v>0.23990463211876359</v>
      </c>
      <c r="V17" s="36">
        <f t="shared" si="4"/>
        <v>4827.9048714759447</v>
      </c>
      <c r="W17" s="48"/>
    </row>
    <row r="18" spans="1:23" s="52" customFormat="1" ht="12.75">
      <c r="A18" s="49">
        <v>9</v>
      </c>
      <c r="B18" s="58" t="s">
        <v>53</v>
      </c>
      <c r="C18" s="59">
        <v>1706</v>
      </c>
      <c r="D18" s="59">
        <v>7024</v>
      </c>
      <c r="E18" s="59">
        <v>2619</v>
      </c>
      <c r="F18" s="59">
        <v>200</v>
      </c>
      <c r="G18" s="59">
        <v>0</v>
      </c>
      <c r="H18" s="53">
        <f t="shared" si="1"/>
        <v>4.1172332942555689</v>
      </c>
      <c r="I18" s="53">
        <f t="shared" si="2"/>
        <v>1.5351699882766705</v>
      </c>
      <c r="J18" s="53">
        <f t="shared" si="2"/>
        <v>0.11723329425556858</v>
      </c>
      <c r="K18" s="53">
        <f t="shared" si="2"/>
        <v>0</v>
      </c>
      <c r="L18" s="50">
        <f t="shared" si="9"/>
        <v>0.1944272496405991</v>
      </c>
      <c r="M18" s="50">
        <f t="shared" si="5"/>
        <v>0.13544820789453596</v>
      </c>
      <c r="N18" s="50">
        <f t="shared" si="6"/>
        <v>6.0410576649675175E-2</v>
      </c>
      <c r="O18" s="50">
        <f t="shared" si="7"/>
        <v>0</v>
      </c>
      <c r="P18" s="54">
        <f t="shared" si="8"/>
        <v>0.39028603418481023</v>
      </c>
      <c r="Q18" s="62">
        <v>1.2887642351200461</v>
      </c>
      <c r="R18" s="51"/>
      <c r="S18" s="36">
        <v>672.75779844961244</v>
      </c>
      <c r="T18" s="37">
        <f t="shared" ref="T18:T40" si="10">S18/C18</f>
        <v>0.39434806474185957</v>
      </c>
      <c r="U18" s="37">
        <f t="shared" ref="U18:U40" si="11">T18/P18</f>
        <v>1.0104078296461048</v>
      </c>
      <c r="V18" s="36">
        <f t="shared" si="4"/>
        <v>576.04018946199619</v>
      </c>
      <c r="W18" s="48"/>
    </row>
    <row r="19" spans="1:23" s="52" customFormat="1" ht="12.75">
      <c r="A19" s="49">
        <v>10</v>
      </c>
      <c r="B19" s="58" t="s">
        <v>54</v>
      </c>
      <c r="C19" s="59">
        <v>1379</v>
      </c>
      <c r="D19" s="59">
        <v>5833</v>
      </c>
      <c r="E19" s="59">
        <v>4538</v>
      </c>
      <c r="F19" s="59">
        <v>0</v>
      </c>
      <c r="G19" s="59">
        <v>0</v>
      </c>
      <c r="H19" s="53">
        <f t="shared" si="1"/>
        <v>4.2298767222625093</v>
      </c>
      <c r="I19" s="53">
        <f t="shared" si="2"/>
        <v>3.2907904278462654</v>
      </c>
      <c r="J19" s="53">
        <f t="shared" si="2"/>
        <v>0</v>
      </c>
      <c r="K19" s="53">
        <f t="shared" si="2"/>
        <v>0</v>
      </c>
      <c r="L19" s="50">
        <f t="shared" si="9"/>
        <v>0.19974658676148435</v>
      </c>
      <c r="M19" s="50">
        <f t="shared" si="5"/>
        <v>0.29034678205807884</v>
      </c>
      <c r="N19" s="50">
        <f t="shared" si="6"/>
        <v>0</v>
      </c>
      <c r="O19" s="50">
        <f t="shared" si="7"/>
        <v>0</v>
      </c>
      <c r="P19" s="54">
        <f t="shared" si="8"/>
        <v>0.49009336881956322</v>
      </c>
      <c r="Q19" s="62">
        <v>1.3916889110168116</v>
      </c>
      <c r="R19" s="51"/>
      <c r="S19" s="36">
        <v>672.75779844961244</v>
      </c>
      <c r="T19" s="37">
        <f t="shared" si="10"/>
        <v>0.4878591721897117</v>
      </c>
      <c r="U19" s="37">
        <f t="shared" si="11"/>
        <v>0.99544128369818019</v>
      </c>
      <c r="V19" s="36">
        <f t="shared" si="4"/>
        <v>595.94461086440174</v>
      </c>
      <c r="W19" s="48"/>
    </row>
    <row r="20" spans="1:23" s="52" customFormat="1" ht="12.75">
      <c r="A20" s="49">
        <v>11</v>
      </c>
      <c r="B20" s="58" t="s">
        <v>55</v>
      </c>
      <c r="C20" s="59">
        <v>1360</v>
      </c>
      <c r="D20" s="59">
        <v>6158</v>
      </c>
      <c r="E20" s="59">
        <v>1699</v>
      </c>
      <c r="F20" s="59">
        <v>200</v>
      </c>
      <c r="G20" s="59">
        <v>540</v>
      </c>
      <c r="H20" s="53">
        <f t="shared" si="1"/>
        <v>4.5279411764705886</v>
      </c>
      <c r="I20" s="53">
        <f t="shared" si="2"/>
        <v>1.2492647058823529</v>
      </c>
      <c r="J20" s="53">
        <f t="shared" si="2"/>
        <v>0.14705882352941177</v>
      </c>
      <c r="K20" s="53">
        <f t="shared" si="2"/>
        <v>0.39705882352941174</v>
      </c>
      <c r="L20" s="50">
        <f t="shared" si="9"/>
        <v>0.21382202235270006</v>
      </c>
      <c r="M20" s="50">
        <f t="shared" si="5"/>
        <v>0.11022275506285098</v>
      </c>
      <c r="N20" s="50">
        <f t="shared" si="6"/>
        <v>7.5779738062019E-2</v>
      </c>
      <c r="O20" s="50">
        <f t="shared" si="7"/>
        <v>9.9999999999999922E-2</v>
      </c>
      <c r="P20" s="54">
        <f t="shared" si="8"/>
        <v>0.49982451547756995</v>
      </c>
      <c r="Q20" s="62">
        <v>2.367195652476223</v>
      </c>
      <c r="R20" s="51"/>
      <c r="S20" s="36">
        <v>672.75779844961244</v>
      </c>
      <c r="T20" s="37">
        <f t="shared" si="10"/>
        <v>0.49467485180118559</v>
      </c>
      <c r="U20" s="37">
        <f t="shared" si="11"/>
        <v>0.98969705663303853</v>
      </c>
      <c r="V20" s="36">
        <f t="shared" si="4"/>
        <v>603.74388162299738</v>
      </c>
      <c r="W20" s="48"/>
    </row>
    <row r="21" spans="1:23" s="52" customFormat="1" ht="12.75">
      <c r="A21" s="49">
        <v>12</v>
      </c>
      <c r="B21" s="58" t="s">
        <v>56</v>
      </c>
      <c r="C21" s="59">
        <v>1128</v>
      </c>
      <c r="D21" s="59">
        <v>5272</v>
      </c>
      <c r="E21" s="59">
        <v>3854</v>
      </c>
      <c r="F21" s="59">
        <v>190</v>
      </c>
      <c r="G21" s="59">
        <v>108</v>
      </c>
      <c r="H21" s="53">
        <f t="shared" si="1"/>
        <v>4.6737588652482271</v>
      </c>
      <c r="I21" s="53">
        <f t="shared" si="2"/>
        <v>3.4166666666666665</v>
      </c>
      <c r="J21" s="53">
        <f t="shared" si="2"/>
        <v>0.16843971631205673</v>
      </c>
      <c r="K21" s="53">
        <f t="shared" si="2"/>
        <v>9.5744680851063829E-2</v>
      </c>
      <c r="L21" s="50">
        <f t="shared" si="9"/>
        <v>0.22070794067497265</v>
      </c>
      <c r="M21" s="50">
        <f t="shared" si="5"/>
        <v>0.30145285571436975</v>
      </c>
      <c r="N21" s="50">
        <f t="shared" si="6"/>
        <v>8.6797359553305448E-2</v>
      </c>
      <c r="O21" s="50">
        <f t="shared" si="7"/>
        <v>2.4113475177304947E-2</v>
      </c>
      <c r="P21" s="54">
        <f t="shared" si="8"/>
        <v>0.6330716311199529</v>
      </c>
      <c r="Q21" s="62">
        <v>2.1644468244087434</v>
      </c>
      <c r="R21" s="51"/>
      <c r="S21" s="36">
        <v>672.75779844961244</v>
      </c>
      <c r="T21" s="37">
        <f t="shared" si="10"/>
        <v>0.59641648798724511</v>
      </c>
      <c r="U21" s="37">
        <f t="shared" si="11"/>
        <v>0.94209953292668958</v>
      </c>
      <c r="V21" s="36">
        <f t="shared" si="4"/>
        <v>672.02892932558814</v>
      </c>
      <c r="W21" s="48"/>
    </row>
    <row r="22" spans="1:23" s="52" customFormat="1" ht="12.75">
      <c r="A22" s="49">
        <v>13</v>
      </c>
      <c r="B22" s="58"/>
      <c r="C22" s="59"/>
      <c r="D22" s="59"/>
      <c r="E22" s="59"/>
      <c r="F22" s="59"/>
      <c r="G22" s="59"/>
      <c r="H22" s="53">
        <f t="shared" si="1"/>
        <v>0</v>
      </c>
      <c r="I22" s="53">
        <f t="shared" si="2"/>
        <v>0</v>
      </c>
      <c r="J22" s="53">
        <f t="shared" si="2"/>
        <v>0</v>
      </c>
      <c r="K22" s="53">
        <f t="shared" si="2"/>
        <v>0</v>
      </c>
      <c r="L22" s="50">
        <f t="shared" si="9"/>
        <v>0</v>
      </c>
      <c r="M22" s="50">
        <f t="shared" si="5"/>
        <v>0</v>
      </c>
      <c r="N22" s="50">
        <f t="shared" si="6"/>
        <v>0</v>
      </c>
      <c r="O22" s="50">
        <f t="shared" si="7"/>
        <v>0</v>
      </c>
      <c r="P22" s="54">
        <f t="shared" si="8"/>
        <v>0</v>
      </c>
      <c r="Q22" s="62">
        <v>0</v>
      </c>
      <c r="R22" s="51"/>
      <c r="S22" s="36">
        <v>672.75779844961244</v>
      </c>
      <c r="T22" s="37" t="e">
        <f t="shared" si="10"/>
        <v>#DIV/0!</v>
      </c>
      <c r="U22" s="37" t="e">
        <f t="shared" si="11"/>
        <v>#DIV/0!</v>
      </c>
      <c r="V22" s="36" t="e">
        <f t="shared" si="4"/>
        <v>#DIV/0!</v>
      </c>
      <c r="W22" s="48"/>
    </row>
    <row r="23" spans="1:23" s="52" customFormat="1" ht="12.75">
      <c r="A23" s="49">
        <v>14</v>
      </c>
      <c r="B23" s="58"/>
      <c r="C23" s="59"/>
      <c r="D23" s="59"/>
      <c r="E23" s="59"/>
      <c r="F23" s="59"/>
      <c r="G23" s="59"/>
      <c r="H23" s="53">
        <f t="shared" si="1"/>
        <v>0</v>
      </c>
      <c r="I23" s="53">
        <f t="shared" si="2"/>
        <v>0</v>
      </c>
      <c r="J23" s="53">
        <f t="shared" si="2"/>
        <v>0</v>
      </c>
      <c r="K23" s="53">
        <f t="shared" si="2"/>
        <v>0</v>
      </c>
      <c r="L23" s="50">
        <f t="shared" si="9"/>
        <v>0</v>
      </c>
      <c r="M23" s="50">
        <f t="shared" si="5"/>
        <v>0</v>
      </c>
      <c r="N23" s="50">
        <f t="shared" si="6"/>
        <v>0</v>
      </c>
      <c r="O23" s="50">
        <f t="shared" si="7"/>
        <v>0</v>
      </c>
      <c r="P23" s="54">
        <f t="shared" si="8"/>
        <v>0</v>
      </c>
      <c r="Q23" s="62">
        <v>0</v>
      </c>
      <c r="R23" s="51"/>
      <c r="S23" s="36">
        <v>672.75779844961244</v>
      </c>
      <c r="T23" s="37" t="e">
        <f t="shared" si="10"/>
        <v>#DIV/0!</v>
      </c>
      <c r="U23" s="37" t="e">
        <f t="shared" si="11"/>
        <v>#DIV/0!</v>
      </c>
      <c r="V23" s="36" t="e">
        <f t="shared" si="4"/>
        <v>#DIV/0!</v>
      </c>
      <c r="W23" s="48"/>
    </row>
    <row r="24" spans="1:23" s="52" customFormat="1" ht="12.75">
      <c r="A24" s="49">
        <v>15</v>
      </c>
      <c r="B24" s="58"/>
      <c r="C24" s="59"/>
      <c r="D24" s="59"/>
      <c r="E24" s="59"/>
      <c r="F24" s="59"/>
      <c r="G24" s="59"/>
      <c r="H24" s="53">
        <f t="shared" si="1"/>
        <v>0</v>
      </c>
      <c r="I24" s="53">
        <f t="shared" si="2"/>
        <v>0</v>
      </c>
      <c r="J24" s="53">
        <f t="shared" si="2"/>
        <v>0</v>
      </c>
      <c r="K24" s="53">
        <f t="shared" si="2"/>
        <v>0</v>
      </c>
      <c r="L24" s="50">
        <f t="shared" si="9"/>
        <v>0</v>
      </c>
      <c r="M24" s="50">
        <f t="shared" si="5"/>
        <v>0</v>
      </c>
      <c r="N24" s="50">
        <f t="shared" si="6"/>
        <v>0</v>
      </c>
      <c r="O24" s="50">
        <f t="shared" si="7"/>
        <v>0</v>
      </c>
      <c r="P24" s="54">
        <f t="shared" si="8"/>
        <v>0</v>
      </c>
      <c r="Q24" s="62">
        <v>0</v>
      </c>
      <c r="R24" s="51"/>
      <c r="S24" s="36">
        <v>672.75779844961244</v>
      </c>
      <c r="T24" s="37" t="e">
        <f t="shared" si="10"/>
        <v>#DIV/0!</v>
      </c>
      <c r="U24" s="37" t="e">
        <f t="shared" si="11"/>
        <v>#DIV/0!</v>
      </c>
      <c r="V24" s="36" t="e">
        <f t="shared" si="4"/>
        <v>#DIV/0!</v>
      </c>
      <c r="W24" s="48"/>
    </row>
    <row r="25" spans="1:23" s="52" customFormat="1" ht="12.75">
      <c r="A25" s="49">
        <v>16</v>
      </c>
      <c r="B25" s="58"/>
      <c r="C25" s="59"/>
      <c r="D25" s="59"/>
      <c r="E25" s="59"/>
      <c r="F25" s="59"/>
      <c r="G25" s="59"/>
      <c r="H25" s="53">
        <f t="shared" si="1"/>
        <v>0</v>
      </c>
      <c r="I25" s="53">
        <f t="shared" si="2"/>
        <v>0</v>
      </c>
      <c r="J25" s="53">
        <f t="shared" si="2"/>
        <v>0</v>
      </c>
      <c r="K25" s="53">
        <f t="shared" si="2"/>
        <v>0</v>
      </c>
      <c r="L25" s="50">
        <f t="shared" si="9"/>
        <v>0</v>
      </c>
      <c r="M25" s="50">
        <f t="shared" si="5"/>
        <v>0</v>
      </c>
      <c r="N25" s="50">
        <f t="shared" si="6"/>
        <v>0</v>
      </c>
      <c r="O25" s="50">
        <f t="shared" si="7"/>
        <v>0</v>
      </c>
      <c r="P25" s="54">
        <f t="shared" si="8"/>
        <v>0</v>
      </c>
      <c r="Q25" s="62">
        <v>0</v>
      </c>
      <c r="R25" s="51"/>
      <c r="S25" s="36">
        <v>672.75779844961244</v>
      </c>
      <c r="T25" s="37" t="e">
        <f t="shared" si="10"/>
        <v>#DIV/0!</v>
      </c>
      <c r="U25" s="37" t="e">
        <f t="shared" si="11"/>
        <v>#DIV/0!</v>
      </c>
      <c r="V25" s="36" t="e">
        <f t="shared" si="4"/>
        <v>#DIV/0!</v>
      </c>
      <c r="W25" s="48"/>
    </row>
    <row r="26" spans="1:23" s="52" customFormat="1" ht="12.75">
      <c r="A26" s="49">
        <v>17</v>
      </c>
      <c r="B26" s="58"/>
      <c r="C26" s="59"/>
      <c r="D26" s="59"/>
      <c r="E26" s="59"/>
      <c r="F26" s="59"/>
      <c r="G26" s="59"/>
      <c r="H26" s="53">
        <f t="shared" si="1"/>
        <v>0</v>
      </c>
      <c r="I26" s="53">
        <f>IF($C26=0, ,E26/$C26)</f>
        <v>0</v>
      </c>
      <c r="J26" s="53">
        <f>IF($C26=0, ,F26/$C26)</f>
        <v>0</v>
      </c>
      <c r="K26" s="53">
        <f>IF($C26=0, ,G26/$C26)</f>
        <v>0</v>
      </c>
      <c r="L26" s="50">
        <f t="shared" si="9"/>
        <v>0</v>
      </c>
      <c r="M26" s="50">
        <f t="shared" si="5"/>
        <v>0</v>
      </c>
      <c r="N26" s="50">
        <f t="shared" si="6"/>
        <v>0</v>
      </c>
      <c r="O26" s="50">
        <f t="shared" si="7"/>
        <v>0</v>
      </c>
      <c r="P26" s="54">
        <f t="shared" si="8"/>
        <v>0</v>
      </c>
      <c r="Q26" s="62">
        <v>0</v>
      </c>
      <c r="R26" s="51"/>
      <c r="S26" s="36">
        <v>672.75779844961244</v>
      </c>
      <c r="T26" s="37" t="e">
        <f t="shared" si="10"/>
        <v>#DIV/0!</v>
      </c>
      <c r="U26" s="37" t="e">
        <f t="shared" si="11"/>
        <v>#DIV/0!</v>
      </c>
      <c r="V26" s="36" t="e">
        <f t="shared" si="4"/>
        <v>#DIV/0!</v>
      </c>
      <c r="W26" s="48"/>
    </row>
    <row r="27" spans="1:23" s="52" customFormat="1" ht="12.75">
      <c r="A27" s="49">
        <v>18</v>
      </c>
      <c r="B27" s="58"/>
      <c r="C27" s="59"/>
      <c r="D27" s="59"/>
      <c r="E27" s="59"/>
      <c r="F27" s="59"/>
      <c r="G27" s="59"/>
      <c r="H27" s="53">
        <f t="shared" ref="H27:K40" si="12">IF($C27=0, ,D27/$C27)</f>
        <v>0</v>
      </c>
      <c r="I27" s="53">
        <f t="shared" si="12"/>
        <v>0</v>
      </c>
      <c r="J27" s="53">
        <f t="shared" si="12"/>
        <v>0</v>
      </c>
      <c r="K27" s="53">
        <f t="shared" si="12"/>
        <v>0</v>
      </c>
      <c r="L27" s="50">
        <f t="shared" si="9"/>
        <v>0</v>
      </c>
      <c r="M27" s="50">
        <f t="shared" si="5"/>
        <v>0</v>
      </c>
      <c r="N27" s="50">
        <f t="shared" si="6"/>
        <v>0</v>
      </c>
      <c r="O27" s="50">
        <f t="shared" si="7"/>
        <v>0</v>
      </c>
      <c r="P27" s="54">
        <f t="shared" si="8"/>
        <v>0</v>
      </c>
      <c r="Q27" s="62">
        <v>0</v>
      </c>
      <c r="R27" s="51"/>
      <c r="S27" s="36">
        <v>672.75779844961244</v>
      </c>
      <c r="T27" s="37" t="e">
        <f t="shared" si="10"/>
        <v>#DIV/0!</v>
      </c>
      <c r="U27" s="37" t="e">
        <f t="shared" si="11"/>
        <v>#DIV/0!</v>
      </c>
      <c r="V27" s="36" t="e">
        <f t="shared" si="4"/>
        <v>#DIV/0!</v>
      </c>
      <c r="W27" s="48"/>
    </row>
    <row r="28" spans="1:23" s="52" customFormat="1" ht="12.75">
      <c r="A28" s="49">
        <v>19</v>
      </c>
      <c r="B28" s="58"/>
      <c r="C28" s="59"/>
      <c r="D28" s="59"/>
      <c r="E28" s="59"/>
      <c r="F28" s="59"/>
      <c r="G28" s="59"/>
      <c r="H28" s="53">
        <f t="shared" si="12"/>
        <v>0</v>
      </c>
      <c r="I28" s="53">
        <f t="shared" si="12"/>
        <v>0</v>
      </c>
      <c r="J28" s="53">
        <f t="shared" si="12"/>
        <v>0</v>
      </c>
      <c r="K28" s="53">
        <f t="shared" si="12"/>
        <v>0</v>
      </c>
      <c r="L28" s="50">
        <f t="shared" si="9"/>
        <v>0</v>
      </c>
      <c r="M28" s="50">
        <f t="shared" si="5"/>
        <v>0</v>
      </c>
      <c r="N28" s="50">
        <f t="shared" si="6"/>
        <v>0</v>
      </c>
      <c r="O28" s="50">
        <f t="shared" si="7"/>
        <v>0</v>
      </c>
      <c r="P28" s="54">
        <f t="shared" si="8"/>
        <v>0</v>
      </c>
      <c r="Q28" s="62">
        <v>0</v>
      </c>
      <c r="R28" s="51"/>
      <c r="S28" s="36">
        <v>672.75779844961244</v>
      </c>
      <c r="T28" s="37" t="e">
        <f t="shared" si="10"/>
        <v>#DIV/0!</v>
      </c>
      <c r="U28" s="37" t="e">
        <f t="shared" si="11"/>
        <v>#DIV/0!</v>
      </c>
      <c r="V28" s="36" t="e">
        <f t="shared" si="4"/>
        <v>#DIV/0!</v>
      </c>
      <c r="W28" s="48"/>
    </row>
    <row r="29" spans="1:23" s="52" customFormat="1" ht="12.75">
      <c r="A29" s="49">
        <v>20</v>
      </c>
      <c r="B29" s="58"/>
      <c r="C29" s="59"/>
      <c r="D29" s="59"/>
      <c r="E29" s="59"/>
      <c r="F29" s="59"/>
      <c r="G29" s="59"/>
      <c r="H29" s="53">
        <f t="shared" si="12"/>
        <v>0</v>
      </c>
      <c r="I29" s="53">
        <f t="shared" si="12"/>
        <v>0</v>
      </c>
      <c r="J29" s="53">
        <f t="shared" si="12"/>
        <v>0</v>
      </c>
      <c r="K29" s="53">
        <f t="shared" si="12"/>
        <v>0</v>
      </c>
      <c r="L29" s="50">
        <f t="shared" si="9"/>
        <v>0</v>
      </c>
      <c r="M29" s="50">
        <f t="shared" si="5"/>
        <v>0</v>
      </c>
      <c r="N29" s="50">
        <f t="shared" si="6"/>
        <v>0</v>
      </c>
      <c r="O29" s="50">
        <f t="shared" si="7"/>
        <v>0</v>
      </c>
      <c r="P29" s="54">
        <f t="shared" si="8"/>
        <v>0</v>
      </c>
      <c r="Q29" s="62">
        <v>0</v>
      </c>
      <c r="R29" s="51"/>
      <c r="S29" s="36">
        <v>672.75779844961244</v>
      </c>
      <c r="T29" s="37" t="e">
        <f t="shared" si="10"/>
        <v>#DIV/0!</v>
      </c>
      <c r="U29" s="37" t="e">
        <f t="shared" si="11"/>
        <v>#DIV/0!</v>
      </c>
      <c r="V29" s="36" t="e">
        <f t="shared" si="4"/>
        <v>#DIV/0!</v>
      </c>
      <c r="W29" s="48"/>
    </row>
    <row r="30" spans="1:23" s="52" customFormat="1" ht="12.75">
      <c r="A30" s="49">
        <v>21</v>
      </c>
      <c r="B30" s="58"/>
      <c r="C30" s="59"/>
      <c r="D30" s="59"/>
      <c r="E30" s="59"/>
      <c r="F30" s="59"/>
      <c r="G30" s="59"/>
      <c r="H30" s="53">
        <f t="shared" si="12"/>
        <v>0</v>
      </c>
      <c r="I30" s="53">
        <f t="shared" si="12"/>
        <v>0</v>
      </c>
      <c r="J30" s="53">
        <f t="shared" si="12"/>
        <v>0</v>
      </c>
      <c r="K30" s="53">
        <f t="shared" si="12"/>
        <v>0</v>
      </c>
      <c r="L30" s="50">
        <f t="shared" si="9"/>
        <v>0</v>
      </c>
      <c r="M30" s="50">
        <f t="shared" si="5"/>
        <v>0</v>
      </c>
      <c r="N30" s="50">
        <f t="shared" si="6"/>
        <v>0</v>
      </c>
      <c r="O30" s="50">
        <f t="shared" si="7"/>
        <v>0</v>
      </c>
      <c r="P30" s="54">
        <f t="shared" si="8"/>
        <v>0</v>
      </c>
      <c r="Q30" s="62">
        <v>0</v>
      </c>
      <c r="R30" s="51"/>
      <c r="S30" s="36">
        <v>672.75779844961244</v>
      </c>
      <c r="T30" s="37" t="e">
        <f t="shared" si="10"/>
        <v>#DIV/0!</v>
      </c>
      <c r="U30" s="37" t="e">
        <f t="shared" si="11"/>
        <v>#DIV/0!</v>
      </c>
      <c r="V30" s="36" t="e">
        <f t="shared" si="4"/>
        <v>#DIV/0!</v>
      </c>
      <c r="W30" s="48"/>
    </row>
    <row r="31" spans="1:23" s="52" customFormat="1" ht="12.75">
      <c r="A31" s="49">
        <v>22</v>
      </c>
      <c r="B31" s="58"/>
      <c r="C31" s="59"/>
      <c r="D31" s="59"/>
      <c r="E31" s="59"/>
      <c r="F31" s="59"/>
      <c r="G31" s="59"/>
      <c r="H31" s="53">
        <f t="shared" si="12"/>
        <v>0</v>
      </c>
      <c r="I31" s="53">
        <f t="shared" si="12"/>
        <v>0</v>
      </c>
      <c r="J31" s="53">
        <f t="shared" si="12"/>
        <v>0</v>
      </c>
      <c r="K31" s="53">
        <f t="shared" si="12"/>
        <v>0</v>
      </c>
      <c r="L31" s="50">
        <f t="shared" si="9"/>
        <v>0</v>
      </c>
      <c r="M31" s="50">
        <f t="shared" si="5"/>
        <v>0</v>
      </c>
      <c r="N31" s="50">
        <f t="shared" si="6"/>
        <v>0</v>
      </c>
      <c r="O31" s="50">
        <f t="shared" si="7"/>
        <v>0</v>
      </c>
      <c r="P31" s="54">
        <f t="shared" si="8"/>
        <v>0</v>
      </c>
      <c r="Q31" s="62">
        <v>0</v>
      </c>
      <c r="R31" s="51"/>
      <c r="S31" s="36">
        <v>672.75779844961244</v>
      </c>
      <c r="T31" s="37" t="e">
        <f t="shared" si="10"/>
        <v>#DIV/0!</v>
      </c>
      <c r="U31" s="37" t="e">
        <f t="shared" si="11"/>
        <v>#DIV/0!</v>
      </c>
      <c r="V31" s="36" t="e">
        <f t="shared" si="4"/>
        <v>#DIV/0!</v>
      </c>
      <c r="W31" s="48"/>
    </row>
    <row r="32" spans="1:23" s="52" customFormat="1" ht="12.75">
      <c r="A32" s="49">
        <v>23</v>
      </c>
      <c r="B32" s="58"/>
      <c r="C32" s="59"/>
      <c r="D32" s="59"/>
      <c r="E32" s="59"/>
      <c r="F32" s="59"/>
      <c r="G32" s="59"/>
      <c r="H32" s="53">
        <f t="shared" si="12"/>
        <v>0</v>
      </c>
      <c r="I32" s="53">
        <f t="shared" si="12"/>
        <v>0</v>
      </c>
      <c r="J32" s="53">
        <f t="shared" si="12"/>
        <v>0</v>
      </c>
      <c r="K32" s="53">
        <f t="shared" si="12"/>
        <v>0</v>
      </c>
      <c r="L32" s="50">
        <f t="shared" si="9"/>
        <v>0</v>
      </c>
      <c r="M32" s="50">
        <f t="shared" si="5"/>
        <v>0</v>
      </c>
      <c r="N32" s="50">
        <f t="shared" si="6"/>
        <v>0</v>
      </c>
      <c r="O32" s="50">
        <f t="shared" si="7"/>
        <v>0</v>
      </c>
      <c r="P32" s="54">
        <f t="shared" si="8"/>
        <v>0</v>
      </c>
      <c r="Q32" s="62">
        <v>0</v>
      </c>
      <c r="R32" s="51"/>
      <c r="S32" s="36">
        <v>672.75779844961244</v>
      </c>
      <c r="T32" s="37" t="e">
        <f t="shared" si="10"/>
        <v>#DIV/0!</v>
      </c>
      <c r="U32" s="37" t="e">
        <f t="shared" si="11"/>
        <v>#DIV/0!</v>
      </c>
      <c r="V32" s="36" t="e">
        <f t="shared" si="4"/>
        <v>#DIV/0!</v>
      </c>
      <c r="W32" s="48"/>
    </row>
    <row r="33" spans="1:23" s="52" customFormat="1" ht="12.75">
      <c r="A33" s="49">
        <v>24</v>
      </c>
      <c r="B33" s="58"/>
      <c r="C33" s="59"/>
      <c r="D33" s="59"/>
      <c r="E33" s="59"/>
      <c r="F33" s="59"/>
      <c r="G33" s="59"/>
      <c r="H33" s="53">
        <f t="shared" si="12"/>
        <v>0</v>
      </c>
      <c r="I33" s="53">
        <f t="shared" si="12"/>
        <v>0</v>
      </c>
      <c r="J33" s="53">
        <f t="shared" si="12"/>
        <v>0</v>
      </c>
      <c r="K33" s="53">
        <f t="shared" si="12"/>
        <v>0</v>
      </c>
      <c r="L33" s="50">
        <f t="shared" si="9"/>
        <v>0</v>
      </c>
      <c r="M33" s="50">
        <f t="shared" si="5"/>
        <v>0</v>
      </c>
      <c r="N33" s="50">
        <f t="shared" si="6"/>
        <v>0</v>
      </c>
      <c r="O33" s="50">
        <f t="shared" si="7"/>
        <v>0</v>
      </c>
      <c r="P33" s="54">
        <f t="shared" si="8"/>
        <v>0</v>
      </c>
      <c r="Q33" s="62">
        <v>0</v>
      </c>
      <c r="R33" s="51"/>
      <c r="S33" s="36">
        <v>672.75779844961244</v>
      </c>
      <c r="T33" s="37" t="e">
        <f t="shared" si="10"/>
        <v>#DIV/0!</v>
      </c>
      <c r="U33" s="37" t="e">
        <f t="shared" si="11"/>
        <v>#DIV/0!</v>
      </c>
      <c r="V33" s="36" t="e">
        <f t="shared" si="4"/>
        <v>#DIV/0!</v>
      </c>
      <c r="W33" s="48"/>
    </row>
    <row r="34" spans="1:23" s="52" customFormat="1" ht="12.75">
      <c r="A34" s="49">
        <v>25</v>
      </c>
      <c r="B34" s="58"/>
      <c r="C34" s="59"/>
      <c r="D34" s="59"/>
      <c r="E34" s="59"/>
      <c r="F34" s="59"/>
      <c r="G34" s="59"/>
      <c r="H34" s="53">
        <f t="shared" si="12"/>
        <v>0</v>
      </c>
      <c r="I34" s="53">
        <f t="shared" si="12"/>
        <v>0</v>
      </c>
      <c r="J34" s="53">
        <f t="shared" si="12"/>
        <v>0</v>
      </c>
      <c r="K34" s="53">
        <f t="shared" si="12"/>
        <v>0</v>
      </c>
      <c r="L34" s="50">
        <f t="shared" si="9"/>
        <v>0</v>
      </c>
      <c r="M34" s="50">
        <f t="shared" si="5"/>
        <v>0</v>
      </c>
      <c r="N34" s="50">
        <f t="shared" si="6"/>
        <v>0</v>
      </c>
      <c r="O34" s="50">
        <f t="shared" si="7"/>
        <v>0</v>
      </c>
      <c r="P34" s="54">
        <f t="shared" si="8"/>
        <v>0</v>
      </c>
      <c r="Q34" s="62">
        <v>0</v>
      </c>
      <c r="R34" s="51"/>
      <c r="S34" s="36">
        <v>672.75779844961244</v>
      </c>
      <c r="T34" s="37" t="e">
        <f t="shared" si="10"/>
        <v>#DIV/0!</v>
      </c>
      <c r="U34" s="37" t="e">
        <f t="shared" si="11"/>
        <v>#DIV/0!</v>
      </c>
      <c r="V34" s="36" t="e">
        <f t="shared" si="4"/>
        <v>#DIV/0!</v>
      </c>
      <c r="W34" s="48"/>
    </row>
    <row r="35" spans="1:23" s="52" customFormat="1" ht="12.75">
      <c r="A35" s="49">
        <v>26</v>
      </c>
      <c r="B35" s="58"/>
      <c r="C35" s="59"/>
      <c r="D35" s="59"/>
      <c r="E35" s="59"/>
      <c r="F35" s="59"/>
      <c r="G35" s="59"/>
      <c r="H35" s="53">
        <f t="shared" si="12"/>
        <v>0</v>
      </c>
      <c r="I35" s="53">
        <f t="shared" si="12"/>
        <v>0</v>
      </c>
      <c r="J35" s="53">
        <f t="shared" si="12"/>
        <v>0</v>
      </c>
      <c r="K35" s="53">
        <f t="shared" si="12"/>
        <v>0</v>
      </c>
      <c r="L35" s="50">
        <f t="shared" si="9"/>
        <v>0</v>
      </c>
      <c r="M35" s="50">
        <f t="shared" si="5"/>
        <v>0</v>
      </c>
      <c r="N35" s="50">
        <f t="shared" si="6"/>
        <v>0</v>
      </c>
      <c r="O35" s="50">
        <f t="shared" si="7"/>
        <v>0</v>
      </c>
      <c r="P35" s="54">
        <f t="shared" si="8"/>
        <v>0</v>
      </c>
      <c r="Q35" s="62">
        <v>0</v>
      </c>
      <c r="R35" s="51"/>
      <c r="S35" s="36">
        <v>672.75779844961244</v>
      </c>
      <c r="T35" s="37" t="e">
        <f t="shared" si="10"/>
        <v>#DIV/0!</v>
      </c>
      <c r="U35" s="37" t="e">
        <f t="shared" si="11"/>
        <v>#DIV/0!</v>
      </c>
      <c r="V35" s="36" t="e">
        <f t="shared" si="4"/>
        <v>#DIV/0!</v>
      </c>
      <c r="W35" s="48"/>
    </row>
    <row r="36" spans="1:23" s="52" customFormat="1" ht="12.75">
      <c r="A36" s="49">
        <v>27</v>
      </c>
      <c r="B36" s="58"/>
      <c r="C36" s="59"/>
      <c r="D36" s="59"/>
      <c r="E36" s="59"/>
      <c r="F36" s="59"/>
      <c r="G36" s="59"/>
      <c r="H36" s="53">
        <f t="shared" si="12"/>
        <v>0</v>
      </c>
      <c r="I36" s="53">
        <f t="shared" si="12"/>
        <v>0</v>
      </c>
      <c r="J36" s="53">
        <f t="shared" si="12"/>
        <v>0</v>
      </c>
      <c r="K36" s="53">
        <f t="shared" si="12"/>
        <v>0</v>
      </c>
      <c r="L36" s="50">
        <f t="shared" si="9"/>
        <v>0</v>
      </c>
      <c r="M36" s="50">
        <f t="shared" si="5"/>
        <v>0</v>
      </c>
      <c r="N36" s="50">
        <f t="shared" si="6"/>
        <v>0</v>
      </c>
      <c r="O36" s="50">
        <f t="shared" si="7"/>
        <v>0</v>
      </c>
      <c r="P36" s="54">
        <f t="shared" si="8"/>
        <v>0</v>
      </c>
      <c r="Q36" s="62">
        <v>0</v>
      </c>
      <c r="R36" s="51"/>
      <c r="S36" s="36">
        <v>672.75779844961244</v>
      </c>
      <c r="T36" s="37" t="e">
        <f t="shared" si="10"/>
        <v>#DIV/0!</v>
      </c>
      <c r="U36" s="37" t="e">
        <f t="shared" si="11"/>
        <v>#DIV/0!</v>
      </c>
      <c r="V36" s="36" t="e">
        <f t="shared" si="4"/>
        <v>#DIV/0!</v>
      </c>
      <c r="W36" s="48"/>
    </row>
    <row r="37" spans="1:23" s="52" customFormat="1" ht="12.75">
      <c r="A37" s="49">
        <v>28</v>
      </c>
      <c r="B37" s="58"/>
      <c r="C37" s="59"/>
      <c r="D37" s="59"/>
      <c r="E37" s="59"/>
      <c r="F37" s="59"/>
      <c r="G37" s="59"/>
      <c r="H37" s="53">
        <f t="shared" si="12"/>
        <v>0</v>
      </c>
      <c r="I37" s="53">
        <f t="shared" si="12"/>
        <v>0</v>
      </c>
      <c r="J37" s="53">
        <f t="shared" si="12"/>
        <v>0</v>
      </c>
      <c r="K37" s="53">
        <f t="shared" si="12"/>
        <v>0</v>
      </c>
      <c r="L37" s="50">
        <f t="shared" si="9"/>
        <v>0</v>
      </c>
      <c r="M37" s="50">
        <f t="shared" si="5"/>
        <v>0</v>
      </c>
      <c r="N37" s="50">
        <f t="shared" si="6"/>
        <v>0</v>
      </c>
      <c r="O37" s="50">
        <f t="shared" si="7"/>
        <v>0</v>
      </c>
      <c r="P37" s="54">
        <f t="shared" si="8"/>
        <v>0</v>
      </c>
      <c r="Q37" s="62">
        <v>0</v>
      </c>
      <c r="R37" s="51"/>
      <c r="S37" s="36">
        <v>672.75779844961244</v>
      </c>
      <c r="T37" s="37" t="e">
        <f t="shared" si="10"/>
        <v>#DIV/0!</v>
      </c>
      <c r="U37" s="37" t="e">
        <f t="shared" si="11"/>
        <v>#DIV/0!</v>
      </c>
      <c r="V37" s="36" t="e">
        <f t="shared" si="4"/>
        <v>#DIV/0!</v>
      </c>
      <c r="W37" s="48"/>
    </row>
    <row r="38" spans="1:23" s="52" customFormat="1" ht="12.75">
      <c r="A38" s="49">
        <v>29</v>
      </c>
      <c r="B38" s="58"/>
      <c r="C38" s="59"/>
      <c r="D38" s="59"/>
      <c r="E38" s="59"/>
      <c r="F38" s="59"/>
      <c r="G38" s="59"/>
      <c r="H38" s="53">
        <f t="shared" si="12"/>
        <v>0</v>
      </c>
      <c r="I38" s="53">
        <f t="shared" si="12"/>
        <v>0</v>
      </c>
      <c r="J38" s="53">
        <f t="shared" si="12"/>
        <v>0</v>
      </c>
      <c r="K38" s="53">
        <f t="shared" si="12"/>
        <v>0</v>
      </c>
      <c r="L38" s="50">
        <f t="shared" si="9"/>
        <v>0</v>
      </c>
      <c r="M38" s="50">
        <f t="shared" si="5"/>
        <v>0</v>
      </c>
      <c r="N38" s="50">
        <f t="shared" si="6"/>
        <v>0</v>
      </c>
      <c r="O38" s="50">
        <f t="shared" si="7"/>
        <v>0</v>
      </c>
      <c r="P38" s="54">
        <f t="shared" si="8"/>
        <v>0</v>
      </c>
      <c r="Q38" s="62">
        <v>0</v>
      </c>
      <c r="R38" s="51"/>
      <c r="S38" s="36">
        <v>672.75779844961244</v>
      </c>
      <c r="T38" s="37" t="e">
        <f t="shared" si="10"/>
        <v>#DIV/0!</v>
      </c>
      <c r="U38" s="37" t="e">
        <f t="shared" si="11"/>
        <v>#DIV/0!</v>
      </c>
      <c r="V38" s="36" t="e">
        <f t="shared" si="4"/>
        <v>#DIV/0!</v>
      </c>
      <c r="W38" s="48"/>
    </row>
    <row r="39" spans="1:23" s="52" customFormat="1" ht="12.75">
      <c r="A39" s="49">
        <v>30</v>
      </c>
      <c r="B39" s="58"/>
      <c r="C39" s="59"/>
      <c r="D39" s="59"/>
      <c r="E39" s="59"/>
      <c r="F39" s="59"/>
      <c r="G39" s="59"/>
      <c r="H39" s="53">
        <f t="shared" si="12"/>
        <v>0</v>
      </c>
      <c r="I39" s="53">
        <f t="shared" si="12"/>
        <v>0</v>
      </c>
      <c r="J39" s="53">
        <f t="shared" si="12"/>
        <v>0</v>
      </c>
      <c r="K39" s="53">
        <f t="shared" si="12"/>
        <v>0</v>
      </c>
      <c r="L39" s="50">
        <f t="shared" si="9"/>
        <v>0</v>
      </c>
      <c r="M39" s="50">
        <f t="shared" si="5"/>
        <v>0</v>
      </c>
      <c r="N39" s="50">
        <f t="shared" si="6"/>
        <v>0</v>
      </c>
      <c r="O39" s="50">
        <f t="shared" si="7"/>
        <v>0</v>
      </c>
      <c r="P39" s="54">
        <f t="shared" si="8"/>
        <v>0</v>
      </c>
      <c r="Q39" s="62">
        <v>0</v>
      </c>
      <c r="R39" s="51"/>
      <c r="S39" s="36">
        <v>672.75779844961244</v>
      </c>
      <c r="T39" s="37" t="e">
        <f t="shared" si="10"/>
        <v>#DIV/0!</v>
      </c>
      <c r="U39" s="37" t="e">
        <f t="shared" si="11"/>
        <v>#DIV/0!</v>
      </c>
      <c r="V39" s="36" t="e">
        <f t="shared" si="4"/>
        <v>#DIV/0!</v>
      </c>
      <c r="W39" s="48"/>
    </row>
    <row r="40" spans="1:23" s="52" customFormat="1" ht="12.75">
      <c r="A40" s="49">
        <v>31</v>
      </c>
      <c r="B40" s="58"/>
      <c r="C40" s="59"/>
      <c r="D40" s="59"/>
      <c r="E40" s="59"/>
      <c r="F40" s="59"/>
      <c r="G40" s="59"/>
      <c r="H40" s="53">
        <f t="shared" si="12"/>
        <v>0</v>
      </c>
      <c r="I40" s="53">
        <f t="shared" si="12"/>
        <v>0</v>
      </c>
      <c r="J40" s="53">
        <f t="shared" si="12"/>
        <v>0</v>
      </c>
      <c r="K40" s="53">
        <f t="shared" si="12"/>
        <v>0</v>
      </c>
      <c r="L40" s="50">
        <f t="shared" si="9"/>
        <v>0</v>
      </c>
      <c r="M40" s="50">
        <f t="shared" si="5"/>
        <v>0</v>
      </c>
      <c r="N40" s="50">
        <f t="shared" si="6"/>
        <v>0</v>
      </c>
      <c r="O40" s="50">
        <f t="shared" si="7"/>
        <v>0</v>
      </c>
      <c r="P40" s="54">
        <f t="shared" si="8"/>
        <v>0</v>
      </c>
      <c r="Q40" s="62">
        <v>0</v>
      </c>
      <c r="R40" s="51"/>
      <c r="S40" s="36">
        <v>672.75779844961244</v>
      </c>
      <c r="T40" s="37" t="e">
        <f t="shared" si="10"/>
        <v>#DIV/0!</v>
      </c>
      <c r="U40" s="37" t="e">
        <f t="shared" si="11"/>
        <v>#DIV/0!</v>
      </c>
      <c r="V40" s="36" t="e">
        <f t="shared" si="4"/>
        <v>#DIV/0!</v>
      </c>
      <c r="W40" s="48"/>
    </row>
  </sheetData>
  <sheetProtection autoFilter="0"/>
  <mergeCells count="14">
    <mergeCell ref="G7:G8"/>
    <mergeCell ref="H7:K7"/>
    <mergeCell ref="L7:O7"/>
    <mergeCell ref="P7:P8"/>
    <mergeCell ref="A1:P1"/>
    <mergeCell ref="A2:P2"/>
    <mergeCell ref="A3:P3"/>
    <mergeCell ref="A4:P4"/>
    <mergeCell ref="A7:A8"/>
    <mergeCell ref="B7:B8"/>
    <mergeCell ref="C7:C8"/>
    <mergeCell ref="D7:D8"/>
    <mergeCell ref="E7:E8"/>
    <mergeCell ref="F7:F8"/>
  </mergeCells>
  <conditionalFormatting sqref="H10:H40">
    <cfRule type="cellIs" dxfId="3" priority="4" operator="equal">
      <formula>H$9</formula>
    </cfRule>
  </conditionalFormatting>
  <conditionalFormatting sqref="I10:I40">
    <cfRule type="cellIs" dxfId="2" priority="3" operator="equal">
      <formula>I$9</formula>
    </cfRule>
  </conditionalFormatting>
  <conditionalFormatting sqref="J10:J40">
    <cfRule type="cellIs" dxfId="1" priority="2" operator="equal">
      <formula>J$9</formula>
    </cfRule>
  </conditionalFormatting>
  <conditionalFormatting sqref="K10:K40">
    <cfRule type="cellIs" dxfId="0" priority="1" operator="equal">
      <formula>K$9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B2:AD20"/>
  <sheetViews>
    <sheetView workbookViewId="0">
      <selection activeCell="F20" sqref="F20"/>
    </sheetView>
  </sheetViews>
  <sheetFormatPr defaultColWidth="9.140625" defaultRowHeight="15"/>
  <cols>
    <col min="1" max="1" width="1.42578125" style="72" customWidth="1"/>
    <col min="2" max="2" width="4" style="72" customWidth="1"/>
    <col min="3" max="3" width="20.28515625" style="72" customWidth="1"/>
    <col min="4" max="17" width="8.5703125" style="72" customWidth="1"/>
    <col min="18" max="18" width="8.5703125" style="72" hidden="1" customWidth="1"/>
    <col min="19" max="27" width="8.5703125" style="72" customWidth="1"/>
    <col min="28" max="16384" width="9.140625" style="72"/>
  </cols>
  <sheetData>
    <row r="2" spans="2:30" ht="47.85" customHeight="1">
      <c r="B2" s="233" t="s">
        <v>187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</row>
    <row r="3" spans="2:30" ht="13.15" customHeight="1"/>
    <row r="4" spans="2:30">
      <c r="Z4" s="234" t="s">
        <v>175</v>
      </c>
      <c r="AA4" s="234"/>
    </row>
    <row r="5" spans="2:30" ht="15" customHeight="1">
      <c r="B5" s="235" t="s">
        <v>0</v>
      </c>
      <c r="C5" s="235" t="s">
        <v>5</v>
      </c>
      <c r="D5" s="239" t="s">
        <v>162</v>
      </c>
      <c r="E5" s="240"/>
      <c r="F5" s="240"/>
      <c r="G5" s="240"/>
      <c r="H5" s="240"/>
      <c r="I5" s="241"/>
      <c r="J5" s="219" t="s">
        <v>184</v>
      </c>
      <c r="K5" s="247" t="s">
        <v>161</v>
      </c>
      <c r="L5" s="235" t="s">
        <v>163</v>
      </c>
      <c r="M5" s="235"/>
      <c r="N5" s="235"/>
      <c r="O5" s="235"/>
      <c r="P5" s="235"/>
      <c r="Q5" s="235"/>
      <c r="R5" s="235"/>
      <c r="S5" s="247" t="s">
        <v>161</v>
      </c>
      <c r="T5" s="235" t="s">
        <v>164</v>
      </c>
      <c r="U5" s="235"/>
      <c r="V5" s="247" t="s">
        <v>161</v>
      </c>
      <c r="W5" s="235" t="s">
        <v>165</v>
      </c>
      <c r="X5" s="235"/>
      <c r="Y5" s="235"/>
      <c r="Z5" s="247" t="s">
        <v>161</v>
      </c>
      <c r="AA5" s="235" t="s">
        <v>125</v>
      </c>
    </row>
    <row r="6" spans="2:30" ht="117.6" customHeight="1">
      <c r="B6" s="235"/>
      <c r="C6" s="235"/>
      <c r="D6" s="242"/>
      <c r="E6" s="243"/>
      <c r="F6" s="243"/>
      <c r="G6" s="243"/>
      <c r="H6" s="243"/>
      <c r="I6" s="244"/>
      <c r="J6" s="245"/>
      <c r="K6" s="247"/>
      <c r="L6" s="235"/>
      <c r="M6" s="235"/>
      <c r="N6" s="235"/>
      <c r="O6" s="235"/>
      <c r="P6" s="235"/>
      <c r="Q6" s="235"/>
      <c r="R6" s="235"/>
      <c r="S6" s="247"/>
      <c r="T6" s="235"/>
      <c r="U6" s="235"/>
      <c r="V6" s="247"/>
      <c r="W6" s="235"/>
      <c r="X6" s="235"/>
      <c r="Y6" s="235"/>
      <c r="Z6" s="247"/>
      <c r="AA6" s="235"/>
    </row>
    <row r="7" spans="2:30" ht="30" customHeight="1">
      <c r="B7" s="235"/>
      <c r="C7" s="235"/>
      <c r="D7" s="235" t="s">
        <v>166</v>
      </c>
      <c r="E7" s="235"/>
      <c r="F7" s="236" t="s">
        <v>167</v>
      </c>
      <c r="G7" s="237"/>
      <c r="H7" s="237"/>
      <c r="I7" s="238"/>
      <c r="J7" s="245"/>
      <c r="K7" s="247"/>
      <c r="L7" s="235" t="s">
        <v>166</v>
      </c>
      <c r="M7" s="235"/>
      <c r="N7" s="235" t="s">
        <v>168</v>
      </c>
      <c r="O7" s="235"/>
      <c r="P7" s="235"/>
      <c r="Q7" s="235"/>
      <c r="R7" s="235" t="s">
        <v>185</v>
      </c>
      <c r="S7" s="247"/>
      <c r="T7" s="235" t="s">
        <v>169</v>
      </c>
      <c r="U7" s="235" t="s">
        <v>170</v>
      </c>
      <c r="V7" s="247"/>
      <c r="W7" s="235" t="s">
        <v>171</v>
      </c>
      <c r="X7" s="235"/>
      <c r="Y7" s="235"/>
      <c r="Z7" s="247"/>
      <c r="AA7" s="235"/>
    </row>
    <row r="8" spans="2:30" ht="34.700000000000003" customHeight="1">
      <c r="B8" s="235"/>
      <c r="C8" s="235"/>
      <c r="D8" s="81">
        <v>211</v>
      </c>
      <c r="E8" s="81">
        <v>213</v>
      </c>
      <c r="F8" s="81">
        <v>221</v>
      </c>
      <c r="G8" s="81">
        <v>223</v>
      </c>
      <c r="H8" s="81" t="s">
        <v>172</v>
      </c>
      <c r="I8" s="81" t="s">
        <v>183</v>
      </c>
      <c r="J8" s="220"/>
      <c r="K8" s="247"/>
      <c r="L8" s="81">
        <v>211</v>
      </c>
      <c r="M8" s="81">
        <v>213</v>
      </c>
      <c r="N8" s="81">
        <v>221</v>
      </c>
      <c r="O8" s="81">
        <v>223</v>
      </c>
      <c r="P8" s="81" t="s">
        <v>172</v>
      </c>
      <c r="Q8" s="81" t="s">
        <v>173</v>
      </c>
      <c r="R8" s="235"/>
      <c r="S8" s="247"/>
      <c r="T8" s="235"/>
      <c r="U8" s="235"/>
      <c r="V8" s="247"/>
      <c r="W8" s="81">
        <v>223</v>
      </c>
      <c r="X8" s="81" t="s">
        <v>172</v>
      </c>
      <c r="Y8" s="81" t="s">
        <v>173</v>
      </c>
      <c r="Z8" s="247"/>
      <c r="AA8" s="235"/>
    </row>
    <row r="9" spans="2:30" ht="15.75">
      <c r="B9" s="49">
        <v>1</v>
      </c>
      <c r="C9" s="73" t="s">
        <v>127</v>
      </c>
      <c r="D9" s="76">
        <v>3316.1</v>
      </c>
      <c r="E9" s="76">
        <v>982.5</v>
      </c>
      <c r="F9" s="76">
        <v>45.9</v>
      </c>
      <c r="G9" s="76">
        <v>99</v>
      </c>
      <c r="H9" s="76"/>
      <c r="I9" s="76"/>
      <c r="J9" s="76">
        <v>126</v>
      </c>
      <c r="K9" s="74">
        <f>SUM(D9:J9)</f>
        <v>4569.5</v>
      </c>
      <c r="L9" s="76">
        <v>5702.8</v>
      </c>
      <c r="M9" s="76">
        <v>1722.2</v>
      </c>
      <c r="N9" s="76">
        <v>27.5</v>
      </c>
      <c r="O9" s="76">
        <v>408.1</v>
      </c>
      <c r="P9" s="76">
        <v>190.1</v>
      </c>
      <c r="Q9" s="76">
        <v>924.7</v>
      </c>
      <c r="R9" s="74"/>
      <c r="S9" s="74">
        <f>SUM(L9:R9)</f>
        <v>8975.4000000000015</v>
      </c>
      <c r="T9" s="76"/>
      <c r="U9" s="76">
        <v>121.5</v>
      </c>
      <c r="V9" s="74">
        <f>T9+U9</f>
        <v>121.5</v>
      </c>
      <c r="W9" s="76">
        <v>1075.5</v>
      </c>
      <c r="X9" s="76">
        <v>260</v>
      </c>
      <c r="Y9" s="76"/>
      <c r="Z9" s="74">
        <f>W9+X9+Y9</f>
        <v>1335.5</v>
      </c>
      <c r="AA9" s="74">
        <v>275.39999999999998</v>
      </c>
      <c r="AB9" s="78"/>
      <c r="AC9" s="79"/>
      <c r="AD9" s="80"/>
    </row>
    <row r="10" spans="2:30" ht="15.75" hidden="1">
      <c r="B10" s="49">
        <v>2</v>
      </c>
      <c r="C10" s="73" t="s">
        <v>128</v>
      </c>
      <c r="D10" s="76"/>
      <c r="E10" s="76"/>
      <c r="F10" s="76"/>
      <c r="G10" s="76"/>
      <c r="H10" s="76"/>
      <c r="I10" s="76"/>
      <c r="J10" s="76"/>
      <c r="K10" s="74">
        <f t="shared" ref="K10:K19" si="0">SUM(D10:J10)</f>
        <v>0</v>
      </c>
      <c r="L10" s="76"/>
      <c r="M10" s="76"/>
      <c r="N10" s="76"/>
      <c r="O10" s="76"/>
      <c r="P10" s="76"/>
      <c r="Q10" s="76"/>
      <c r="R10" s="74"/>
      <c r="S10" s="74">
        <f t="shared" ref="S10:S19" si="1">SUM(L10:R10)</f>
        <v>0</v>
      </c>
      <c r="T10" s="76"/>
      <c r="U10" s="76"/>
      <c r="V10" s="74">
        <f t="shared" ref="V10:V19" si="2">T10+U10</f>
        <v>0</v>
      </c>
      <c r="W10" s="76"/>
      <c r="X10" s="76"/>
      <c r="Y10" s="76"/>
      <c r="Z10" s="74">
        <f t="shared" ref="Z10:Z19" si="3">W10+X10+Y10</f>
        <v>0</v>
      </c>
      <c r="AA10" s="74">
        <v>0</v>
      </c>
      <c r="AB10" s="78"/>
      <c r="AC10" s="79"/>
      <c r="AD10" s="80"/>
    </row>
    <row r="11" spans="2:30" ht="15.75">
      <c r="B11" s="49">
        <v>2</v>
      </c>
      <c r="C11" s="73" t="s">
        <v>129</v>
      </c>
      <c r="D11" s="76">
        <v>2912.2</v>
      </c>
      <c r="E11" s="76">
        <v>877.8</v>
      </c>
      <c r="F11" s="76">
        <v>36</v>
      </c>
      <c r="G11" s="76">
        <v>11.3</v>
      </c>
      <c r="H11" s="76"/>
      <c r="I11" s="76"/>
      <c r="J11" s="76">
        <v>20.7</v>
      </c>
      <c r="K11" s="74">
        <f t="shared" si="0"/>
        <v>3858</v>
      </c>
      <c r="L11" s="76">
        <v>1067.8</v>
      </c>
      <c r="M11" s="76">
        <v>322.5</v>
      </c>
      <c r="N11" s="76">
        <v>33</v>
      </c>
      <c r="O11" s="76">
        <v>292.39999999999998</v>
      </c>
      <c r="P11" s="76">
        <v>995.6</v>
      </c>
      <c r="Q11" s="76"/>
      <c r="R11" s="74"/>
      <c r="S11" s="74">
        <f t="shared" si="1"/>
        <v>2711.2999999999997</v>
      </c>
      <c r="T11" s="76"/>
      <c r="U11" s="76"/>
      <c r="V11" s="74">
        <f t="shared" si="2"/>
        <v>0</v>
      </c>
      <c r="W11" s="76">
        <v>67.5</v>
      </c>
      <c r="X11" s="76"/>
      <c r="Y11" s="76"/>
      <c r="Z11" s="74">
        <f t="shared" si="3"/>
        <v>67.5</v>
      </c>
      <c r="AA11" s="74">
        <v>0</v>
      </c>
      <c r="AB11" s="78"/>
      <c r="AC11" s="79"/>
      <c r="AD11" s="80"/>
    </row>
    <row r="12" spans="2:30" ht="31.5">
      <c r="B12" s="49">
        <v>3</v>
      </c>
      <c r="C12" s="73" t="s">
        <v>130</v>
      </c>
      <c r="D12" s="76">
        <v>9456.2999999999993</v>
      </c>
      <c r="E12" s="76">
        <v>2855.8</v>
      </c>
      <c r="F12" s="76">
        <v>75</v>
      </c>
      <c r="G12" s="76">
        <v>496.1</v>
      </c>
      <c r="H12" s="76"/>
      <c r="I12" s="76"/>
      <c r="J12" s="76">
        <v>256.10000000000002</v>
      </c>
      <c r="K12" s="74">
        <f t="shared" si="0"/>
        <v>13139.3</v>
      </c>
      <c r="L12" s="76">
        <v>9478.7999999999993</v>
      </c>
      <c r="M12" s="76">
        <v>2862.7</v>
      </c>
      <c r="N12" s="76">
        <v>200.1</v>
      </c>
      <c r="O12" s="76">
        <v>1869.4</v>
      </c>
      <c r="P12" s="76">
        <v>70.3</v>
      </c>
      <c r="Q12" s="76"/>
      <c r="R12" s="74"/>
      <c r="S12" s="74">
        <f t="shared" si="1"/>
        <v>14481.3</v>
      </c>
      <c r="T12" s="76"/>
      <c r="U12" s="76">
        <v>184.5</v>
      </c>
      <c r="V12" s="74">
        <f t="shared" si="2"/>
        <v>184.5</v>
      </c>
      <c r="W12" s="76">
        <v>999.1</v>
      </c>
      <c r="X12" s="76">
        <v>230</v>
      </c>
      <c r="Y12" s="76"/>
      <c r="Z12" s="74">
        <f t="shared" si="3"/>
        <v>1229.0999999999999</v>
      </c>
      <c r="AA12" s="74">
        <v>0</v>
      </c>
      <c r="AB12" s="78"/>
      <c r="AC12" s="79"/>
      <c r="AD12" s="80"/>
    </row>
    <row r="13" spans="2:30" ht="15.75" customHeight="1">
      <c r="B13" s="49">
        <v>4</v>
      </c>
      <c r="C13" s="73" t="s">
        <v>131</v>
      </c>
      <c r="D13" s="76">
        <v>3130.1</v>
      </c>
      <c r="E13" s="76">
        <v>945.3</v>
      </c>
      <c r="F13" s="76">
        <v>68.900000000000006</v>
      </c>
      <c r="G13" s="76">
        <v>92.5</v>
      </c>
      <c r="H13" s="76">
        <v>80.2</v>
      </c>
      <c r="I13" s="76"/>
      <c r="J13" s="76">
        <v>75.599999999999994</v>
      </c>
      <c r="K13" s="74">
        <f t="shared" si="0"/>
        <v>4392.5999999999995</v>
      </c>
      <c r="L13" s="76">
        <v>5456.7</v>
      </c>
      <c r="M13" s="76">
        <v>1647.9</v>
      </c>
      <c r="N13" s="76">
        <v>47.8</v>
      </c>
      <c r="O13" s="76">
        <v>514.6</v>
      </c>
      <c r="P13" s="76">
        <v>76.400000000000006</v>
      </c>
      <c r="Q13" s="76"/>
      <c r="R13" s="74"/>
      <c r="S13" s="74">
        <f t="shared" si="1"/>
        <v>7743.4000000000005</v>
      </c>
      <c r="T13" s="76"/>
      <c r="U13" s="76"/>
      <c r="V13" s="74">
        <f t="shared" si="2"/>
        <v>0</v>
      </c>
      <c r="W13" s="76">
        <v>641.29999999999995</v>
      </c>
      <c r="X13" s="76">
        <v>144.4</v>
      </c>
      <c r="Y13" s="76">
        <v>950.2</v>
      </c>
      <c r="Z13" s="74">
        <f t="shared" si="3"/>
        <v>1735.9</v>
      </c>
      <c r="AA13" s="74">
        <v>110.2</v>
      </c>
      <c r="AB13" s="78"/>
      <c r="AC13" s="79"/>
      <c r="AD13" s="80"/>
    </row>
    <row r="14" spans="2:30" ht="15.75">
      <c r="B14" s="49">
        <v>5</v>
      </c>
      <c r="C14" s="73" t="s">
        <v>132</v>
      </c>
      <c r="D14" s="76">
        <v>3947.1</v>
      </c>
      <c r="E14" s="76">
        <v>1177.4000000000001</v>
      </c>
      <c r="F14" s="76">
        <v>69.2</v>
      </c>
      <c r="G14" s="76">
        <v>87.9</v>
      </c>
      <c r="H14" s="76">
        <v>52.7</v>
      </c>
      <c r="I14" s="76"/>
      <c r="J14" s="76">
        <v>72</v>
      </c>
      <c r="K14" s="74">
        <f t="shared" si="0"/>
        <v>5406.2999999999993</v>
      </c>
      <c r="L14" s="76">
        <v>3413.7</v>
      </c>
      <c r="M14" s="76">
        <v>1030.9000000000001</v>
      </c>
      <c r="N14" s="76"/>
      <c r="O14" s="76">
        <v>691.6</v>
      </c>
      <c r="P14" s="76"/>
      <c r="Q14" s="76"/>
      <c r="R14" s="76"/>
      <c r="S14" s="74">
        <f t="shared" si="1"/>
        <v>5136.2000000000007</v>
      </c>
      <c r="T14" s="76"/>
      <c r="U14" s="76">
        <v>126.5</v>
      </c>
      <c r="V14" s="74">
        <f t="shared" si="2"/>
        <v>126.5</v>
      </c>
      <c r="W14" s="76">
        <v>618.20000000000005</v>
      </c>
      <c r="X14" s="76">
        <v>90.2</v>
      </c>
      <c r="Y14" s="76"/>
      <c r="Z14" s="74">
        <f t="shared" si="3"/>
        <v>708.40000000000009</v>
      </c>
      <c r="AA14" s="74">
        <v>159.19999999999999</v>
      </c>
      <c r="AB14" s="78"/>
      <c r="AC14" s="78"/>
      <c r="AD14" s="80"/>
    </row>
    <row r="15" spans="2:30" ht="15.75">
      <c r="B15" s="49">
        <v>6</v>
      </c>
      <c r="C15" s="73" t="s">
        <v>133</v>
      </c>
      <c r="D15" s="76">
        <v>5261.4</v>
      </c>
      <c r="E15" s="76">
        <v>1588.9</v>
      </c>
      <c r="F15" s="76">
        <v>22.5</v>
      </c>
      <c r="G15" s="76"/>
      <c r="H15" s="76">
        <v>198.6</v>
      </c>
      <c r="I15" s="76"/>
      <c r="J15" s="76">
        <v>108</v>
      </c>
      <c r="K15" s="74">
        <f t="shared" si="0"/>
        <v>7179.4</v>
      </c>
      <c r="L15" s="76">
        <v>6466.8</v>
      </c>
      <c r="M15" s="76">
        <v>1953</v>
      </c>
      <c r="N15" s="76">
        <v>41.7</v>
      </c>
      <c r="O15" s="76">
        <v>496.3</v>
      </c>
      <c r="P15" s="76"/>
      <c r="Q15" s="76">
        <v>451.2</v>
      </c>
      <c r="R15" s="74"/>
      <c r="S15" s="74">
        <f t="shared" si="1"/>
        <v>9409</v>
      </c>
      <c r="T15" s="76"/>
      <c r="U15" s="76">
        <v>100</v>
      </c>
      <c r="V15" s="74">
        <f t="shared" si="2"/>
        <v>100</v>
      </c>
      <c r="W15" s="76">
        <v>121</v>
      </c>
      <c r="X15" s="76"/>
      <c r="Y15" s="76"/>
      <c r="Z15" s="74">
        <f t="shared" si="3"/>
        <v>121</v>
      </c>
      <c r="AA15" s="74">
        <v>0</v>
      </c>
      <c r="AB15" s="78"/>
      <c r="AC15" s="79"/>
      <c r="AD15" s="80"/>
    </row>
    <row r="16" spans="2:30" ht="15.75">
      <c r="B16" s="49">
        <v>7</v>
      </c>
      <c r="C16" s="73" t="s">
        <v>134</v>
      </c>
      <c r="D16" s="76">
        <v>4599.1000000000004</v>
      </c>
      <c r="E16" s="76">
        <v>1388.9</v>
      </c>
      <c r="F16" s="76">
        <v>53.6</v>
      </c>
      <c r="G16" s="76">
        <v>129.30000000000001</v>
      </c>
      <c r="H16" s="76"/>
      <c r="I16" s="76"/>
      <c r="J16" s="76">
        <v>65</v>
      </c>
      <c r="K16" s="74">
        <f t="shared" si="0"/>
        <v>6235.9000000000005</v>
      </c>
      <c r="L16" s="76">
        <v>5200.3</v>
      </c>
      <c r="M16" s="76">
        <v>1570.5</v>
      </c>
      <c r="N16" s="76">
        <v>55.4</v>
      </c>
      <c r="O16" s="76">
        <v>900</v>
      </c>
      <c r="P16" s="76">
        <v>954.8</v>
      </c>
      <c r="Q16" s="76"/>
      <c r="R16" s="74"/>
      <c r="S16" s="74">
        <f t="shared" si="1"/>
        <v>8681</v>
      </c>
      <c r="T16" s="76"/>
      <c r="U16" s="76">
        <v>216</v>
      </c>
      <c r="V16" s="74">
        <f t="shared" si="2"/>
        <v>216</v>
      </c>
      <c r="W16" s="76">
        <v>1551.9</v>
      </c>
      <c r="X16" s="76"/>
      <c r="Y16" s="76"/>
      <c r="Z16" s="74">
        <f t="shared" si="3"/>
        <v>1551.9</v>
      </c>
      <c r="AA16" s="74">
        <v>16.7</v>
      </c>
      <c r="AB16" s="78"/>
      <c r="AC16" s="79"/>
      <c r="AD16" s="80"/>
    </row>
    <row r="17" spans="2:30" ht="15.75">
      <c r="B17" s="49">
        <v>8</v>
      </c>
      <c r="C17" s="73" t="s">
        <v>135</v>
      </c>
      <c r="D17" s="76">
        <v>3013.3</v>
      </c>
      <c r="E17" s="76">
        <v>910</v>
      </c>
      <c r="F17" s="76">
        <v>41.6</v>
      </c>
      <c r="G17" s="76">
        <v>98.5</v>
      </c>
      <c r="H17" s="76">
        <v>50.9</v>
      </c>
      <c r="I17" s="76"/>
      <c r="J17" s="76">
        <v>135</v>
      </c>
      <c r="K17" s="74">
        <f t="shared" si="0"/>
        <v>4249.3</v>
      </c>
      <c r="L17" s="76">
        <v>2936.5</v>
      </c>
      <c r="M17" s="76">
        <v>886.8</v>
      </c>
      <c r="N17" s="76">
        <v>31.1</v>
      </c>
      <c r="O17" s="76">
        <v>480</v>
      </c>
      <c r="P17" s="76">
        <v>2583.1</v>
      </c>
      <c r="Q17" s="76"/>
      <c r="R17" s="74"/>
      <c r="S17" s="74">
        <f t="shared" si="1"/>
        <v>6917.5</v>
      </c>
      <c r="T17" s="76"/>
      <c r="U17" s="76"/>
      <c r="V17" s="74">
        <f t="shared" si="2"/>
        <v>0</v>
      </c>
      <c r="W17" s="76">
        <v>133.4</v>
      </c>
      <c r="X17" s="76">
        <v>21.6</v>
      </c>
      <c r="Y17" s="76"/>
      <c r="Z17" s="74">
        <f t="shared" si="3"/>
        <v>155</v>
      </c>
      <c r="AA17" s="74">
        <v>3.1</v>
      </c>
      <c r="AB17" s="78"/>
      <c r="AC17" s="79"/>
      <c r="AD17" s="80"/>
    </row>
    <row r="18" spans="2:30" ht="15.75">
      <c r="B18" s="49">
        <v>9</v>
      </c>
      <c r="C18" s="73" t="s">
        <v>136</v>
      </c>
      <c r="D18" s="76">
        <v>4259.2</v>
      </c>
      <c r="E18" s="76">
        <v>1286.3</v>
      </c>
      <c r="F18" s="76">
        <v>46.3</v>
      </c>
      <c r="G18" s="76">
        <v>299.2</v>
      </c>
      <c r="H18" s="76"/>
      <c r="I18" s="76">
        <v>400.7</v>
      </c>
      <c r="J18" s="76">
        <v>84</v>
      </c>
      <c r="K18" s="74">
        <f t="shared" si="0"/>
        <v>6375.7</v>
      </c>
      <c r="L18" s="76">
        <v>2829.7</v>
      </c>
      <c r="M18" s="76">
        <v>854.6</v>
      </c>
      <c r="N18" s="76">
        <v>51.1</v>
      </c>
      <c r="O18" s="76">
        <v>460</v>
      </c>
      <c r="P18" s="76">
        <v>579.4</v>
      </c>
      <c r="Q18" s="76"/>
      <c r="R18" s="74"/>
      <c r="S18" s="74">
        <f t="shared" si="1"/>
        <v>4774.7999999999993</v>
      </c>
      <c r="T18" s="76"/>
      <c r="U18" s="76">
        <v>406.8</v>
      </c>
      <c r="V18" s="74">
        <f t="shared" si="2"/>
        <v>406.8</v>
      </c>
      <c r="W18" s="76">
        <v>369.8</v>
      </c>
      <c r="X18" s="76"/>
      <c r="Y18" s="76"/>
      <c r="Z18" s="74">
        <f t="shared" si="3"/>
        <v>369.8</v>
      </c>
      <c r="AA18" s="74">
        <v>61.3</v>
      </c>
      <c r="AB18" s="78"/>
      <c r="AC18" s="79"/>
      <c r="AD18" s="80"/>
    </row>
    <row r="19" spans="2:30" ht="15.75">
      <c r="B19" s="49">
        <v>10</v>
      </c>
      <c r="C19" s="73" t="s">
        <v>137</v>
      </c>
      <c r="D19" s="76">
        <v>2952.5</v>
      </c>
      <c r="E19" s="76">
        <v>891.7</v>
      </c>
      <c r="F19" s="76">
        <v>50.1</v>
      </c>
      <c r="G19" s="76">
        <v>201.9</v>
      </c>
      <c r="H19" s="76">
        <v>306.8</v>
      </c>
      <c r="I19" s="76"/>
      <c r="J19" s="76">
        <v>108</v>
      </c>
      <c r="K19" s="74">
        <f t="shared" si="0"/>
        <v>4511</v>
      </c>
      <c r="L19" s="76">
        <v>1423.6</v>
      </c>
      <c r="M19" s="76">
        <v>429.9</v>
      </c>
      <c r="N19" s="76">
        <v>18</v>
      </c>
      <c r="O19" s="76">
        <v>209.3</v>
      </c>
      <c r="P19" s="76">
        <v>64.5</v>
      </c>
      <c r="Q19" s="76"/>
      <c r="R19" s="74"/>
      <c r="S19" s="74">
        <f t="shared" si="1"/>
        <v>2145.3000000000002</v>
      </c>
      <c r="T19" s="76"/>
      <c r="U19" s="76">
        <v>446.5</v>
      </c>
      <c r="V19" s="74">
        <f t="shared" si="2"/>
        <v>446.5</v>
      </c>
      <c r="W19" s="76"/>
      <c r="X19" s="76"/>
      <c r="Y19" s="76"/>
      <c r="Z19" s="74">
        <f t="shared" si="3"/>
        <v>0</v>
      </c>
      <c r="AA19" s="74">
        <v>98.2</v>
      </c>
      <c r="AB19" s="78"/>
      <c r="AC19" s="79"/>
      <c r="AD19" s="80"/>
    </row>
    <row r="20" spans="2:30" ht="15.75">
      <c r="B20" s="246" t="s">
        <v>1</v>
      </c>
      <c r="C20" s="246"/>
      <c r="D20" s="82">
        <f>D9+D10+D11+D12+D13+D14+D15+D16+D17+D18+D19</f>
        <v>42847.299999999996</v>
      </c>
      <c r="E20" s="82">
        <f t="shared" ref="E20:AA20" si="4">E9+E10+E11+E12+E13+E14+E15+E16+E17+E18+E19</f>
        <v>12904.6</v>
      </c>
      <c r="F20" s="82">
        <f t="shared" si="4"/>
        <v>509.10000000000008</v>
      </c>
      <c r="G20" s="82">
        <f t="shared" si="4"/>
        <v>1515.7</v>
      </c>
      <c r="H20" s="82">
        <f t="shared" si="4"/>
        <v>689.2</v>
      </c>
      <c r="I20" s="82">
        <f t="shared" si="4"/>
        <v>400.7</v>
      </c>
      <c r="J20" s="82">
        <f t="shared" si="4"/>
        <v>1050.4000000000001</v>
      </c>
      <c r="K20" s="82">
        <f t="shared" si="4"/>
        <v>59917</v>
      </c>
      <c r="L20" s="82">
        <f t="shared" si="4"/>
        <v>43976.7</v>
      </c>
      <c r="M20" s="82">
        <f t="shared" si="4"/>
        <v>13280.999999999998</v>
      </c>
      <c r="N20" s="82">
        <f t="shared" si="4"/>
        <v>505.70000000000005</v>
      </c>
      <c r="O20" s="82">
        <f t="shared" si="4"/>
        <v>6321.7</v>
      </c>
      <c r="P20" s="82">
        <f t="shared" si="4"/>
        <v>5514.1999999999989</v>
      </c>
      <c r="Q20" s="82">
        <f t="shared" si="4"/>
        <v>1375.9</v>
      </c>
      <c r="R20" s="82">
        <f t="shared" si="4"/>
        <v>0</v>
      </c>
      <c r="S20" s="82">
        <f t="shared" si="4"/>
        <v>70975.200000000012</v>
      </c>
      <c r="T20" s="82">
        <f t="shared" si="4"/>
        <v>0</v>
      </c>
      <c r="U20" s="82">
        <f t="shared" si="4"/>
        <v>1601.8</v>
      </c>
      <c r="V20" s="82">
        <f t="shared" si="4"/>
        <v>1601.8</v>
      </c>
      <c r="W20" s="82">
        <f t="shared" si="4"/>
        <v>5577.7</v>
      </c>
      <c r="X20" s="82">
        <f t="shared" si="4"/>
        <v>746.2</v>
      </c>
      <c r="Y20" s="82">
        <f t="shared" si="4"/>
        <v>950.2</v>
      </c>
      <c r="Z20" s="82">
        <f t="shared" si="4"/>
        <v>7274.0999999999995</v>
      </c>
      <c r="AA20" s="82">
        <f t="shared" si="4"/>
        <v>724.1</v>
      </c>
    </row>
  </sheetData>
  <mergeCells count="23">
    <mergeCell ref="B20:C20"/>
    <mergeCell ref="K5:K8"/>
    <mergeCell ref="L5:R6"/>
    <mergeCell ref="Z5:Z8"/>
    <mergeCell ref="AA5:AA8"/>
    <mergeCell ref="D7:E7"/>
    <mergeCell ref="L7:M7"/>
    <mergeCell ref="N7:Q7"/>
    <mergeCell ref="R7:R8"/>
    <mergeCell ref="S5:S8"/>
    <mergeCell ref="W7:Y7"/>
    <mergeCell ref="T5:U6"/>
    <mergeCell ref="V5:V8"/>
    <mergeCell ref="W5:Y6"/>
    <mergeCell ref="B2:AA2"/>
    <mergeCell ref="Z4:AA4"/>
    <mergeCell ref="C5:C8"/>
    <mergeCell ref="B5:B8"/>
    <mergeCell ref="F7:I7"/>
    <mergeCell ref="D5:I6"/>
    <mergeCell ref="J5:J8"/>
    <mergeCell ref="T7:T8"/>
    <mergeCell ref="U7:U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A1:M47"/>
  <sheetViews>
    <sheetView tabSelected="1" workbookViewId="0">
      <selection activeCell="F20" sqref="F20"/>
    </sheetView>
  </sheetViews>
  <sheetFormatPr defaultColWidth="9.140625" defaultRowHeight="12.75"/>
  <cols>
    <col min="1" max="1" width="9.140625" style="145"/>
    <col min="2" max="2" width="24.85546875" style="145" customWidth="1"/>
    <col min="3" max="3" width="13.42578125" style="145" customWidth="1"/>
    <col min="4" max="4" width="17.42578125" style="145" customWidth="1"/>
    <col min="5" max="5" width="12.5703125" style="145" customWidth="1"/>
    <col min="6" max="6" width="11.140625" style="145" customWidth="1"/>
    <col min="7" max="7" width="13.7109375" style="145" customWidth="1"/>
    <col min="8" max="8" width="19.28515625" style="145" customWidth="1"/>
    <col min="9" max="9" width="21.28515625" style="145" customWidth="1"/>
    <col min="10" max="10" width="25.5703125" style="145" customWidth="1"/>
    <col min="11" max="11" width="5.5703125" style="145" customWidth="1"/>
    <col min="12" max="12" width="9.140625" style="145"/>
    <col min="13" max="13" width="11.7109375" style="145" bestFit="1" customWidth="1"/>
    <col min="14" max="16384" width="9.140625" style="145"/>
  </cols>
  <sheetData>
    <row r="1" spans="1:13" ht="47.25" customHeight="1">
      <c r="A1" s="261" t="s">
        <v>186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3" ht="18.75">
      <c r="A2" s="227"/>
      <c r="B2" s="227"/>
      <c r="C2" s="227"/>
      <c r="D2" s="227"/>
      <c r="E2" s="227"/>
      <c r="H2" s="146" t="s">
        <v>123</v>
      </c>
      <c r="I2" s="147">
        <v>1.6770797606529724</v>
      </c>
    </row>
    <row r="3" spans="1:13" ht="13.15" customHeight="1">
      <c r="A3" s="219" t="s">
        <v>0</v>
      </c>
      <c r="B3" s="219" t="s">
        <v>5</v>
      </c>
      <c r="C3" s="219" t="s">
        <v>122</v>
      </c>
      <c r="D3" s="219" t="s">
        <v>102</v>
      </c>
      <c r="E3" s="219" t="s">
        <v>103</v>
      </c>
      <c r="F3" s="219" t="s">
        <v>101</v>
      </c>
      <c r="G3" s="219"/>
      <c r="H3" s="219" t="s">
        <v>104</v>
      </c>
      <c r="I3" s="239" t="s">
        <v>124</v>
      </c>
      <c r="J3" s="259" t="s">
        <v>141</v>
      </c>
    </row>
    <row r="4" spans="1:13" ht="102" customHeight="1">
      <c r="A4" s="220"/>
      <c r="B4" s="220"/>
      <c r="C4" s="220"/>
      <c r="D4" s="220"/>
      <c r="E4" s="220"/>
      <c r="F4" s="220"/>
      <c r="G4" s="220"/>
      <c r="H4" s="220"/>
      <c r="I4" s="242"/>
      <c r="J4" s="260"/>
    </row>
    <row r="5" spans="1:13" ht="63.75">
      <c r="A5" s="42">
        <f>COUNT(C6:C35)</f>
        <v>10</v>
      </c>
      <c r="B5" s="43" t="s">
        <v>1</v>
      </c>
      <c r="C5" s="44">
        <f>SUM(C6:C35)</f>
        <v>12096</v>
      </c>
      <c r="D5" s="44"/>
      <c r="E5" s="44"/>
      <c r="F5" s="44"/>
      <c r="G5" s="75"/>
      <c r="H5" s="44"/>
      <c r="I5" s="148">
        <v>10369.793</v>
      </c>
      <c r="J5" s="149" t="s">
        <v>126</v>
      </c>
    </row>
    <row r="6" spans="1:13" ht="16.149999999999999" customHeight="1">
      <c r="A6" s="49">
        <v>1</v>
      </c>
      <c r="B6" s="70" t="s">
        <v>127</v>
      </c>
      <c r="C6" s="150">
        <f>ИБР!C9</f>
        <v>1501</v>
      </c>
      <c r="D6" s="151">
        <f>ИНП!AG15</f>
        <v>7.6810783785977887E-2</v>
      </c>
      <c r="E6" s="151">
        <f>ИБР!S9</f>
        <v>0.28901857732834291</v>
      </c>
      <c r="F6" s="151">
        <f>D6/E6</f>
        <v>0.26576417507832412</v>
      </c>
      <c r="G6" s="76"/>
      <c r="H6" s="151">
        <f>F6+G6/(ИНП!$D$3/$C$5*'Дотация итог '!E6*'Дотация итог '!C6)</f>
        <v>0.26576417507832412</v>
      </c>
      <c r="I6" s="152">
        <f>ИНП!$D$3/$C$5*('Дотация итог '!$I$2-'Дотация итог '!$H6)*'Дотация итог '!$E6*'Дотация итог '!$C6</f>
        <v>1237.1590897787885</v>
      </c>
      <c r="J6" s="153">
        <v>1237159</v>
      </c>
      <c r="M6" s="154"/>
    </row>
    <row r="7" spans="1:13" ht="16.149999999999999" customHeight="1">
      <c r="A7" s="49">
        <v>2</v>
      </c>
      <c r="B7" s="70" t="s">
        <v>129</v>
      </c>
      <c r="C7" s="150">
        <f>ИБР!C10</f>
        <v>216</v>
      </c>
      <c r="D7" s="151">
        <f>ИНП!AG16</f>
        <v>1.04784734256283E-2</v>
      </c>
      <c r="E7" s="151">
        <f>ИБР!S10</f>
        <v>0.85937524689001832</v>
      </c>
      <c r="F7" s="151">
        <f t="shared" ref="F7:F15" si="0">D7/E7</f>
        <v>1.2193129210491819E-2</v>
      </c>
      <c r="G7" s="76"/>
      <c r="H7" s="151">
        <f>F7+G7/(ИНП!$D$3/$C$5*'Дотация итог '!E7*'Дотация итог '!C7)</f>
        <v>1.2193129210491819E-2</v>
      </c>
      <c r="I7" s="152">
        <f>ИНП!$D$3/$C$5*('Дотация итог '!$I$2-'Дотация итог '!$H7)*'Дотация итог '!$E7*'Дотация итог '!$C7</f>
        <v>624.47667145799858</v>
      </c>
      <c r="J7" s="153">
        <v>624477</v>
      </c>
      <c r="M7" s="154"/>
    </row>
    <row r="8" spans="1:13" ht="16.149999999999999" customHeight="1">
      <c r="A8" s="49">
        <v>3</v>
      </c>
      <c r="B8" s="70" t="s">
        <v>130</v>
      </c>
      <c r="C8" s="150">
        <f>ИБР!C11</f>
        <v>2869</v>
      </c>
      <c r="D8" s="151">
        <f>ИНП!AG17</f>
        <v>0.1576138335364094</v>
      </c>
      <c r="E8" s="151">
        <f>ИБР!S11</f>
        <v>0.28466424446305688</v>
      </c>
      <c r="F8" s="151">
        <f t="shared" si="0"/>
        <v>0.55368328338427553</v>
      </c>
      <c r="G8" s="76"/>
      <c r="H8" s="151">
        <f>F8+G8/(ИНП!$D$3/$C$5*'Дотация итог '!E8*'Дотация итог '!C8)</f>
        <v>0.55368328338427553</v>
      </c>
      <c r="I8" s="152">
        <f>ИНП!$D$3/$C$5*('Дотация итог '!$I$2-'Дотация итог '!$H8)*'Дотация итог '!$E8*'Дотация итог '!$C8</f>
        <v>1853.9221279976757</v>
      </c>
      <c r="J8" s="153">
        <v>1853922</v>
      </c>
      <c r="M8" s="154"/>
    </row>
    <row r="9" spans="1:13" ht="16.149999999999999" customHeight="1">
      <c r="A9" s="49">
        <v>4</v>
      </c>
      <c r="B9" s="70" t="s">
        <v>131</v>
      </c>
      <c r="C9" s="150">
        <f>ИБР!C12</f>
        <v>1197</v>
      </c>
      <c r="D9" s="151">
        <f>ИНП!AG18</f>
        <v>5.4631237798089628E-2</v>
      </c>
      <c r="E9" s="151">
        <f>ИБР!S12</f>
        <v>0.35704556136648852</v>
      </c>
      <c r="F9" s="151">
        <f t="shared" si="0"/>
        <v>0.15300914983792091</v>
      </c>
      <c r="G9" s="76"/>
      <c r="H9" s="151">
        <f>F9+G9/(ИНП!$D$3/$C$5*'Дотация итог '!E9*'Дотация итог '!C9)</f>
        <v>0.15300914983792091</v>
      </c>
      <c r="I9" s="152">
        <f>ИНП!$D$3/$C$5*('Дотация итог '!$I$2-'Дотация итог '!$H9)*'Дотация итог '!$E9*'Дотация итог '!$C9</f>
        <v>1316.1877335881125</v>
      </c>
      <c r="J9" s="153">
        <v>1316188</v>
      </c>
      <c r="M9" s="154"/>
    </row>
    <row r="10" spans="1:13" ht="16.149999999999999" customHeight="1">
      <c r="A10" s="49">
        <v>5</v>
      </c>
      <c r="B10" s="70" t="s">
        <v>132</v>
      </c>
      <c r="C10" s="150">
        <f>ИБР!C13</f>
        <v>619</v>
      </c>
      <c r="D10" s="151">
        <f>ИНП!AG19</f>
        <v>4.6571715464229106E-2</v>
      </c>
      <c r="E10" s="151">
        <f>ИБР!S13</f>
        <v>0.53827161393729139</v>
      </c>
      <c r="F10" s="151">
        <f t="shared" si="0"/>
        <v>8.6520846090269041E-2</v>
      </c>
      <c r="G10" s="76"/>
      <c r="H10" s="151">
        <f>F10+G10/(ИНП!$D$3/$C$5*'Дотация итог '!E10*'Дотация итог '!C10)</f>
        <v>8.6520846090269041E-2</v>
      </c>
      <c r="I10" s="152">
        <f>ИНП!$D$3/$C$5*('Дотация итог '!$I$2-'Дотация итог '!$H10)*'Дотация итог '!$E10*'Дотация итог '!$C10</f>
        <v>1070.8702372263294</v>
      </c>
      <c r="J10" s="153">
        <v>1070870</v>
      </c>
      <c r="M10" s="154"/>
    </row>
    <row r="11" spans="1:13" ht="16.149999999999999" customHeight="1">
      <c r="A11" s="49">
        <v>6</v>
      </c>
      <c r="B11" s="70" t="s">
        <v>133</v>
      </c>
      <c r="C11" s="150">
        <f>ИБР!C14</f>
        <v>1300</v>
      </c>
      <c r="D11" s="151">
        <f>ИНП!AG20</f>
        <v>0.12716304444301435</v>
      </c>
      <c r="E11" s="151">
        <f>ИБР!S14</f>
        <v>0.33907769289527112</v>
      </c>
      <c r="F11" s="151">
        <f t="shared" si="0"/>
        <v>0.37502627600539451</v>
      </c>
      <c r="G11" s="76"/>
      <c r="H11" s="151">
        <f>F11+G11/(ИНП!$D$3/$C$5*'Дотация итог '!E11*'Дотация итог '!C11)</f>
        <v>0.37502627600539451</v>
      </c>
      <c r="I11" s="152">
        <f>ИНП!$D$3/$C$5*('Дотация итог '!$I$2-'Дотация итог '!$H11)*'Дотация итог '!$E11*'Дотация итог '!$C11</f>
        <v>1159.7552779175601</v>
      </c>
      <c r="J11" s="153">
        <v>1159755</v>
      </c>
      <c r="M11" s="154"/>
    </row>
    <row r="12" spans="1:13" ht="16.149999999999999" customHeight="1">
      <c r="A12" s="49">
        <v>7</v>
      </c>
      <c r="B12" s="70" t="s">
        <v>134</v>
      </c>
      <c r="C12" s="150">
        <f>ИБР!C15</f>
        <v>1589</v>
      </c>
      <c r="D12" s="151">
        <f>ИНП!AG21</f>
        <v>0.24519705748401574</v>
      </c>
      <c r="E12" s="151">
        <f>ИБР!S15</f>
        <v>0.31141995712926412</v>
      </c>
      <c r="F12" s="151">
        <f t="shared" si="0"/>
        <v>0.78735177971346071</v>
      </c>
      <c r="G12" s="76"/>
      <c r="H12" s="151">
        <f>F12+G12/(ИНП!$D$3/$C$5*'Дотация итог '!E12*'Дотация итог '!C12)</f>
        <v>0.78735177971346071</v>
      </c>
      <c r="I12" s="152">
        <f>ИНП!$D$3/$C$5*('Дотация итог '!$I$2-'Дотация итог '!$H12)*'Дотация итог '!$E12*'Дотация итог '!$C12</f>
        <v>889.65689353713412</v>
      </c>
      <c r="J12" s="153">
        <v>889657</v>
      </c>
      <c r="M12" s="154"/>
    </row>
    <row r="13" spans="1:13" ht="16.149999999999999" customHeight="1">
      <c r="A13" s="49">
        <v>8</v>
      </c>
      <c r="B13" s="70" t="s">
        <v>135</v>
      </c>
      <c r="C13" s="150">
        <f>ИБР!C16</f>
        <v>457</v>
      </c>
      <c r="D13" s="151">
        <f>ИНП!AG22</f>
        <v>3.0970746871861615E-2</v>
      </c>
      <c r="E13" s="151">
        <f>ИБР!S16</f>
        <v>0.64654518688032026</v>
      </c>
      <c r="F13" s="151">
        <f t="shared" si="0"/>
        <v>4.7901906162661607E-2</v>
      </c>
      <c r="G13" s="76"/>
      <c r="H13" s="151">
        <f>F13+G13/(ИНП!$D$3/$C$5*'Дотация итог '!E13*'Дотация итог '!C13)</f>
        <v>4.7901906162661607E-2</v>
      </c>
      <c r="I13" s="152">
        <f>ИНП!$D$3/$C$5*('Дотация итог '!$I$2-'Дотация итог '!$H13)*'Дотация итог '!$E13*'Дотация итог '!$C13</f>
        <v>972.69916429927639</v>
      </c>
      <c r="J13" s="153">
        <v>972699</v>
      </c>
      <c r="M13" s="154"/>
    </row>
    <row r="14" spans="1:13" ht="16.149999999999999" customHeight="1">
      <c r="A14" s="49">
        <v>9</v>
      </c>
      <c r="B14" s="70" t="s">
        <v>136</v>
      </c>
      <c r="C14" s="150">
        <f>ИБР!C17</f>
        <v>1593</v>
      </c>
      <c r="D14" s="151">
        <f>ИНП!AG23</f>
        <v>3.7228822902347601E-2</v>
      </c>
      <c r="E14" s="151">
        <f>ИБР!S17</f>
        <v>0.21006959498135164</v>
      </c>
      <c r="F14" s="151">
        <f t="shared" si="0"/>
        <v>0.17722137706626459</v>
      </c>
      <c r="G14" s="76"/>
      <c r="H14" s="151">
        <f>F14+G14/(ИНП!$D$3/$C$5*'Дотация итог '!E14*'Дотация итог '!C14)</f>
        <v>0.17722137706626459</v>
      </c>
      <c r="I14" s="152">
        <f>ИНП!$D$3/$C$5*('Дотация итог '!$I$2-'Дотация итог '!$H14)*'Дотация итог '!$E14*'Дотация итог '!$C14</f>
        <v>1014.2013644475583</v>
      </c>
      <c r="J14" s="153">
        <v>1014201</v>
      </c>
      <c r="M14" s="154"/>
    </row>
    <row r="15" spans="1:13" ht="16.149999999999999" customHeight="1">
      <c r="A15" s="49">
        <v>10</v>
      </c>
      <c r="B15" s="70" t="s">
        <v>137</v>
      </c>
      <c r="C15" s="150">
        <f>ИБР!C18</f>
        <v>755</v>
      </c>
      <c r="D15" s="151">
        <f>ИНП!AG24</f>
        <v>7.0956398209599857E-3</v>
      </c>
      <c r="E15" s="151">
        <f>ИБР!S18</f>
        <v>0.25626701764920817</v>
      </c>
      <c r="F15" s="151">
        <f t="shared" si="0"/>
        <v>2.7688462940138759E-2</v>
      </c>
      <c r="G15" s="76"/>
      <c r="H15" s="151">
        <f>F15+G15/(ИНП!$D$3/$C$5*'Дотация итог '!E15*'Дотация итог '!C15)</f>
        <v>2.7688462940138759E-2</v>
      </c>
      <c r="I15" s="152">
        <f>ИНП!$D$3/$C$5*('Дотация итог '!$I$2-'Дотация итог '!$H15)*'Дотация итог '!$E15*'Дотация итог '!$C15</f>
        <v>644.84943974956559</v>
      </c>
      <c r="J15" s="153">
        <v>644850</v>
      </c>
      <c r="M15" s="154"/>
    </row>
    <row r="16" spans="1:13" hidden="1">
      <c r="A16" s="49">
        <v>12</v>
      </c>
      <c r="B16" s="155"/>
      <c r="C16" s="150"/>
      <c r="D16" s="150"/>
      <c r="E16" s="150"/>
      <c r="F16" s="150"/>
      <c r="G16" s="150"/>
      <c r="H16" s="150"/>
      <c r="I16" s="156"/>
      <c r="J16" s="157"/>
      <c r="M16" s="154"/>
    </row>
    <row r="17" spans="1:13" hidden="1">
      <c r="A17" s="49">
        <v>13</v>
      </c>
      <c r="B17" s="155"/>
      <c r="C17" s="150"/>
      <c r="D17" s="150"/>
      <c r="E17" s="150"/>
      <c r="F17" s="150"/>
      <c r="G17" s="150"/>
      <c r="H17" s="150"/>
      <c r="I17" s="156"/>
      <c r="J17" s="157"/>
      <c r="M17" s="154"/>
    </row>
    <row r="18" spans="1:13" hidden="1">
      <c r="A18" s="49">
        <v>14</v>
      </c>
      <c r="B18" s="155"/>
      <c r="C18" s="150"/>
      <c r="D18" s="150"/>
      <c r="E18" s="150"/>
      <c r="F18" s="150"/>
      <c r="G18" s="150"/>
      <c r="H18" s="150"/>
      <c r="I18" s="156"/>
      <c r="J18" s="157"/>
      <c r="M18" s="154"/>
    </row>
    <row r="19" spans="1:13" hidden="1">
      <c r="A19" s="49">
        <v>15</v>
      </c>
      <c r="B19" s="155"/>
      <c r="C19" s="150"/>
      <c r="D19" s="150"/>
      <c r="E19" s="150"/>
      <c r="F19" s="150"/>
      <c r="G19" s="150"/>
      <c r="H19" s="150"/>
      <c r="I19" s="156"/>
      <c r="J19" s="157"/>
      <c r="M19" s="154"/>
    </row>
    <row r="20" spans="1:13" hidden="1">
      <c r="A20" s="49">
        <v>16</v>
      </c>
      <c r="B20" s="155"/>
      <c r="C20" s="150"/>
      <c r="D20" s="150"/>
      <c r="E20" s="150"/>
      <c r="F20" s="150"/>
      <c r="G20" s="150"/>
      <c r="H20" s="150"/>
      <c r="I20" s="156"/>
      <c r="J20" s="157"/>
      <c r="M20" s="154"/>
    </row>
    <row r="21" spans="1:13" hidden="1">
      <c r="A21" s="49">
        <v>17</v>
      </c>
      <c r="B21" s="155"/>
      <c r="C21" s="150"/>
      <c r="D21" s="150"/>
      <c r="E21" s="150"/>
      <c r="F21" s="150"/>
      <c r="G21" s="150"/>
      <c r="H21" s="150"/>
      <c r="I21" s="156"/>
      <c r="J21" s="157"/>
      <c r="M21" s="154"/>
    </row>
    <row r="22" spans="1:13" hidden="1">
      <c r="A22" s="49">
        <v>18</v>
      </c>
      <c r="B22" s="155"/>
      <c r="C22" s="150"/>
      <c r="D22" s="150"/>
      <c r="E22" s="150"/>
      <c r="F22" s="150"/>
      <c r="G22" s="150"/>
      <c r="H22" s="150"/>
      <c r="I22" s="156"/>
      <c r="J22" s="157"/>
      <c r="M22" s="154"/>
    </row>
    <row r="23" spans="1:13" hidden="1">
      <c r="A23" s="49">
        <v>19</v>
      </c>
      <c r="B23" s="155"/>
      <c r="C23" s="150"/>
      <c r="D23" s="150"/>
      <c r="E23" s="150"/>
      <c r="F23" s="150"/>
      <c r="G23" s="150"/>
      <c r="H23" s="150"/>
      <c r="I23" s="156"/>
      <c r="J23" s="157"/>
      <c r="M23" s="154"/>
    </row>
    <row r="24" spans="1:13" hidden="1">
      <c r="A24" s="49">
        <v>20</v>
      </c>
      <c r="B24" s="155"/>
      <c r="C24" s="150"/>
      <c r="D24" s="150"/>
      <c r="E24" s="150"/>
      <c r="F24" s="150"/>
      <c r="G24" s="150"/>
      <c r="H24" s="150"/>
      <c r="I24" s="156"/>
      <c r="J24" s="157"/>
      <c r="M24" s="154"/>
    </row>
    <row r="25" spans="1:13" hidden="1">
      <c r="A25" s="49">
        <v>21</v>
      </c>
      <c r="B25" s="155"/>
      <c r="C25" s="150"/>
      <c r="D25" s="150"/>
      <c r="E25" s="150"/>
      <c r="F25" s="150"/>
      <c r="G25" s="150"/>
      <c r="H25" s="150"/>
      <c r="I25" s="156"/>
      <c r="J25" s="157"/>
      <c r="M25" s="154"/>
    </row>
    <row r="26" spans="1:13" hidden="1">
      <c r="A26" s="49">
        <v>22</v>
      </c>
      <c r="B26" s="155"/>
      <c r="C26" s="150"/>
      <c r="D26" s="150"/>
      <c r="E26" s="150"/>
      <c r="F26" s="150"/>
      <c r="G26" s="150"/>
      <c r="H26" s="150"/>
      <c r="I26" s="156"/>
      <c r="J26" s="157"/>
      <c r="M26" s="154"/>
    </row>
    <row r="27" spans="1:13" hidden="1">
      <c r="A27" s="49">
        <v>23</v>
      </c>
      <c r="B27" s="155"/>
      <c r="C27" s="150"/>
      <c r="D27" s="150"/>
      <c r="E27" s="150"/>
      <c r="F27" s="150"/>
      <c r="G27" s="150"/>
      <c r="H27" s="150"/>
      <c r="I27" s="156"/>
      <c r="J27" s="157"/>
      <c r="M27" s="154"/>
    </row>
    <row r="28" spans="1:13" hidden="1">
      <c r="A28" s="49">
        <v>24</v>
      </c>
      <c r="B28" s="155"/>
      <c r="C28" s="150"/>
      <c r="D28" s="150"/>
      <c r="E28" s="150"/>
      <c r="F28" s="150"/>
      <c r="G28" s="150"/>
      <c r="H28" s="150"/>
      <c r="I28" s="156"/>
      <c r="J28" s="157"/>
      <c r="M28" s="154"/>
    </row>
    <row r="29" spans="1:13" hidden="1">
      <c r="A29" s="49">
        <v>25</v>
      </c>
      <c r="B29" s="155"/>
      <c r="C29" s="150"/>
      <c r="D29" s="150"/>
      <c r="E29" s="150"/>
      <c r="F29" s="150"/>
      <c r="G29" s="150"/>
      <c r="H29" s="150"/>
      <c r="I29" s="156"/>
      <c r="J29" s="157"/>
      <c r="M29" s="154"/>
    </row>
    <row r="30" spans="1:13" hidden="1">
      <c r="A30" s="49">
        <v>26</v>
      </c>
      <c r="B30" s="155"/>
      <c r="C30" s="150"/>
      <c r="D30" s="150"/>
      <c r="E30" s="150"/>
      <c r="F30" s="150"/>
      <c r="G30" s="150"/>
      <c r="H30" s="150"/>
      <c r="I30" s="156"/>
      <c r="J30" s="157"/>
      <c r="M30" s="154"/>
    </row>
    <row r="31" spans="1:13" hidden="1">
      <c r="A31" s="49">
        <v>27</v>
      </c>
      <c r="B31" s="155"/>
      <c r="C31" s="150"/>
      <c r="D31" s="150"/>
      <c r="E31" s="150"/>
      <c r="F31" s="150"/>
      <c r="G31" s="150"/>
      <c r="H31" s="150"/>
      <c r="I31" s="156"/>
      <c r="J31" s="157"/>
      <c r="M31" s="154"/>
    </row>
    <row r="32" spans="1:13" hidden="1">
      <c r="A32" s="49">
        <v>28</v>
      </c>
      <c r="B32" s="155"/>
      <c r="C32" s="150"/>
      <c r="D32" s="150"/>
      <c r="E32" s="150"/>
      <c r="F32" s="150"/>
      <c r="G32" s="150"/>
      <c r="H32" s="150"/>
      <c r="I32" s="156"/>
      <c r="J32" s="157"/>
      <c r="M32" s="154"/>
    </row>
    <row r="33" spans="1:13" hidden="1">
      <c r="A33" s="49">
        <v>29</v>
      </c>
      <c r="B33" s="155"/>
      <c r="C33" s="150"/>
      <c r="D33" s="150"/>
      <c r="E33" s="150"/>
      <c r="F33" s="150"/>
      <c r="G33" s="150"/>
      <c r="H33" s="150"/>
      <c r="I33" s="156"/>
      <c r="J33" s="157"/>
      <c r="M33" s="154"/>
    </row>
    <row r="34" spans="1:13" hidden="1">
      <c r="A34" s="49">
        <v>30</v>
      </c>
      <c r="B34" s="155"/>
      <c r="C34" s="150"/>
      <c r="D34" s="150"/>
      <c r="E34" s="150"/>
      <c r="F34" s="150"/>
      <c r="G34" s="150"/>
      <c r="H34" s="150"/>
      <c r="I34" s="156"/>
      <c r="J34" s="157"/>
      <c r="M34" s="154"/>
    </row>
    <row r="35" spans="1:13" ht="2.1" hidden="1" customHeight="1">
      <c r="A35" s="49">
        <v>31</v>
      </c>
      <c r="B35" s="155"/>
      <c r="C35" s="150"/>
      <c r="D35" s="150"/>
      <c r="E35" s="150"/>
      <c r="F35" s="150"/>
      <c r="G35" s="150"/>
      <c r="H35" s="150"/>
      <c r="I35" s="156"/>
      <c r="J35" s="157"/>
      <c r="M35" s="154"/>
    </row>
    <row r="36" spans="1:13" ht="8.65" hidden="1" customHeight="1">
      <c r="A36" s="77"/>
      <c r="B36" s="158"/>
      <c r="C36" s="159"/>
      <c r="D36" s="159"/>
      <c r="E36" s="159"/>
      <c r="F36" s="159"/>
      <c r="G36" s="159"/>
      <c r="H36" s="159"/>
      <c r="I36" s="156"/>
      <c r="J36" s="157"/>
      <c r="M36" s="154"/>
    </row>
    <row r="37" spans="1:13" ht="31.35" customHeight="1">
      <c r="B37" s="160" t="s">
        <v>142</v>
      </c>
      <c r="C37" s="161">
        <f>C38</f>
        <v>10783778</v>
      </c>
      <c r="I37" s="162">
        <f>SUM(I6:I35)</f>
        <v>10783.778</v>
      </c>
      <c r="J37" s="153">
        <f>SUM(J6:J35)</f>
        <v>10783778</v>
      </c>
      <c r="M37" s="154"/>
    </row>
    <row r="38" spans="1:13" ht="31.5">
      <c r="B38" s="163" t="s">
        <v>178</v>
      </c>
      <c r="C38" s="164">
        <v>10783778</v>
      </c>
    </row>
    <row r="39" spans="1:13">
      <c r="G39" s="165"/>
      <c r="H39" s="165"/>
      <c r="I39" s="166"/>
    </row>
    <row r="40" spans="1:13" ht="47.25">
      <c r="B40" s="255" t="s">
        <v>143</v>
      </c>
      <c r="C40" s="256"/>
      <c r="D40" s="257"/>
      <c r="E40" s="167" t="s">
        <v>144</v>
      </c>
      <c r="F40" s="168" t="s">
        <v>145</v>
      </c>
      <c r="G40" s="169" t="s">
        <v>146</v>
      </c>
      <c r="H40" s="170" t="s">
        <v>147</v>
      </c>
      <c r="I40" s="171"/>
    </row>
    <row r="41" spans="1:13" ht="65.25" customHeight="1">
      <c r="B41" s="258" t="s">
        <v>148</v>
      </c>
      <c r="C41" s="258"/>
      <c r="D41" s="258"/>
      <c r="E41" s="172" t="s">
        <v>149</v>
      </c>
      <c r="F41" s="173" t="s">
        <v>150</v>
      </c>
      <c r="G41" s="169" t="s">
        <v>151</v>
      </c>
      <c r="H41" s="174">
        <v>72158800</v>
      </c>
    </row>
    <row r="42" spans="1:13" ht="60.6" customHeight="1">
      <c r="B42" s="258" t="s">
        <v>152</v>
      </c>
      <c r="C42" s="258"/>
      <c r="D42" s="258"/>
      <c r="E42" s="172" t="s">
        <v>153</v>
      </c>
      <c r="F42" s="173" t="s">
        <v>154</v>
      </c>
      <c r="G42" s="169" t="s">
        <v>151</v>
      </c>
      <c r="H42" s="175">
        <v>71624900</v>
      </c>
    </row>
    <row r="43" spans="1:13" ht="69.2" customHeight="1">
      <c r="B43" s="258" t="s">
        <v>155</v>
      </c>
      <c r="C43" s="258"/>
      <c r="D43" s="258"/>
      <c r="E43" s="172" t="s">
        <v>156</v>
      </c>
      <c r="F43" s="173" t="s">
        <v>150</v>
      </c>
      <c r="G43" s="169" t="s">
        <v>151</v>
      </c>
      <c r="H43" s="175">
        <v>0</v>
      </c>
    </row>
    <row r="44" spans="1:13" ht="77.650000000000006" customHeight="1">
      <c r="B44" s="251" t="s">
        <v>157</v>
      </c>
      <c r="C44" s="251"/>
      <c r="D44" s="251"/>
      <c r="E44" s="172" t="s">
        <v>158</v>
      </c>
      <c r="F44" s="173" t="s">
        <v>150</v>
      </c>
      <c r="G44" s="169" t="s">
        <v>151</v>
      </c>
      <c r="H44" s="175">
        <f>SUM(H45)</f>
        <v>10783777.5</v>
      </c>
    </row>
    <row r="45" spans="1:13" ht="18.600000000000001" customHeight="1">
      <c r="B45" s="248" t="s">
        <v>159</v>
      </c>
      <c r="C45" s="249"/>
      <c r="D45" s="250"/>
      <c r="E45" s="176"/>
      <c r="F45" s="177"/>
      <c r="G45" s="178"/>
      <c r="H45" s="179">
        <f>SUM(0.075*(H41+H42)-H43)</f>
        <v>10783777.5</v>
      </c>
    </row>
    <row r="46" spans="1:13" ht="44.25" hidden="1" customHeight="1">
      <c r="B46" s="251" t="s">
        <v>174</v>
      </c>
      <c r="C46" s="251"/>
      <c r="D46" s="251"/>
      <c r="E46" s="172" t="s">
        <v>160</v>
      </c>
      <c r="F46" s="173" t="s">
        <v>154</v>
      </c>
      <c r="G46" s="169" t="s">
        <v>151</v>
      </c>
      <c r="H46" s="175">
        <v>0</v>
      </c>
    </row>
    <row r="47" spans="1:13" ht="32.85" customHeight="1">
      <c r="B47" s="252" t="s">
        <v>182</v>
      </c>
      <c r="C47" s="253"/>
      <c r="D47" s="254"/>
      <c r="E47" s="180"/>
      <c r="F47" s="180"/>
      <c r="G47" s="180"/>
      <c r="H47" s="181">
        <f>SUM(0.075*(H41+H42)-H43-H44+H46*1.01)</f>
        <v>0</v>
      </c>
    </row>
  </sheetData>
  <mergeCells count="20">
    <mergeCell ref="J3:J4"/>
    <mergeCell ref="A1:J1"/>
    <mergeCell ref="I3:I4"/>
    <mergeCell ref="G3:G4"/>
    <mergeCell ref="H3:H4"/>
    <mergeCell ref="F3:F4"/>
    <mergeCell ref="A2:E2"/>
    <mergeCell ref="A3:A4"/>
    <mergeCell ref="B3:B4"/>
    <mergeCell ref="C3:C4"/>
    <mergeCell ref="D3:D4"/>
    <mergeCell ref="E3:E4"/>
    <mergeCell ref="B45:D45"/>
    <mergeCell ref="B46:D46"/>
    <mergeCell ref="B47:D47"/>
    <mergeCell ref="B40:D40"/>
    <mergeCell ref="B41:D41"/>
    <mergeCell ref="B42:D42"/>
    <mergeCell ref="B43:D43"/>
    <mergeCell ref="B44:D44"/>
  </mergeCells>
  <pageMargins left="0.35433070866141736" right="0.35433070866141736" top="0.43307086614173229" bottom="0.23622047244094491" header="0.31496062992125984" footer="0.15748031496062992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ИНП</vt:lpstr>
      <vt:lpstr>ИБР</vt:lpstr>
      <vt:lpstr>24</vt:lpstr>
      <vt:lpstr>28</vt:lpstr>
      <vt:lpstr>41</vt:lpstr>
      <vt:lpstr>выборка расходов</vt:lpstr>
      <vt:lpstr>Дотация итог </vt:lpstr>
      <vt:lpstr>'24'!Область_печати</vt:lpstr>
      <vt:lpstr>'28'!Область_печати</vt:lpstr>
      <vt:lpstr>'41'!Область_печати</vt:lpstr>
      <vt:lpstr>ИНП!Область_печати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Федоренко А.В.</dc:creator>
  <cp:lastModifiedBy>Сухова</cp:lastModifiedBy>
  <cp:lastPrinted>2023-01-10T05:49:27Z</cp:lastPrinted>
  <dcterms:created xsi:type="dcterms:W3CDTF">2009-04-29T07:26:33Z</dcterms:created>
  <dcterms:modified xsi:type="dcterms:W3CDTF">2023-08-14T03:40:19Z</dcterms:modified>
</cp:coreProperties>
</file>